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j3.01\fr\obd\editions\"/>
    </mc:Choice>
  </mc:AlternateContent>
  <xr:revisionPtr revIDLastSave="0" documentId="13_ncr:1_{7338E5DC-7E6E-445D-AD16-C20FCA602FC1}" xr6:coauthVersionLast="47" xr6:coauthVersionMax="47" xr10:uidLastSave="{00000000-0000-0000-0000-000000000000}"/>
  <bookViews>
    <workbookView xWindow="30570" yWindow="120" windowWidth="21600" windowHeight="15435" xr2:uid="{00000000-000D-0000-FFFF-FFFF00000000}"/>
  </bookViews>
  <sheets>
    <sheet name="Plan de trésorerie" sheetId="1" r:id="rId1"/>
    <sheet name="Donnees" sheetId="2" r:id="rId2"/>
  </sheets>
  <definedNames>
    <definedName name="_xlnm.Print_Area" localSheetId="0">'Plan de trésorerie'!$B$1:$O$41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1" l="1"/>
  <c r="M32" i="1"/>
  <c r="L32" i="1"/>
  <c r="K32" i="1"/>
  <c r="J32" i="1"/>
  <c r="I32" i="1"/>
  <c r="H32" i="1"/>
  <c r="G32" i="1"/>
  <c r="F32" i="1"/>
  <c r="E32" i="1"/>
  <c r="D32" i="1"/>
  <c r="C32" i="1"/>
  <c r="F4" i="2"/>
  <c r="H35" i="1" l="1"/>
  <c r="H38" i="1"/>
  <c r="E35" i="1"/>
  <c r="E38" i="1"/>
  <c r="D35" i="1"/>
  <c r="N35" i="1"/>
  <c r="N38" i="1"/>
  <c r="M35" i="1"/>
  <c r="M38" i="1"/>
  <c r="L35" i="1"/>
  <c r="L38" i="1"/>
  <c r="K35" i="1"/>
  <c r="K38" i="1"/>
  <c r="J35" i="1"/>
  <c r="J38" i="1"/>
  <c r="I35" i="1"/>
  <c r="I38" i="1"/>
  <c r="G35" i="1"/>
  <c r="G38" i="1"/>
  <c r="F35" i="1"/>
  <c r="F38" i="1"/>
  <c r="D38" i="1"/>
  <c r="C35" i="1"/>
  <c r="C38" i="1"/>
  <c r="N21" i="1"/>
  <c r="N24" i="1"/>
  <c r="M21" i="1"/>
  <c r="M24" i="1"/>
  <c r="L21" i="1"/>
  <c r="L24" i="1"/>
  <c r="K21" i="1"/>
  <c r="K24" i="1"/>
  <c r="J21" i="1"/>
  <c r="J24" i="1"/>
  <c r="I21" i="1"/>
  <c r="I24" i="1"/>
  <c r="H21" i="1"/>
  <c r="H24" i="1"/>
  <c r="G21" i="1"/>
  <c r="G24" i="1"/>
  <c r="F21" i="1"/>
  <c r="F24" i="1"/>
  <c r="E21" i="1"/>
  <c r="E24" i="1"/>
  <c r="D21" i="1"/>
  <c r="D24" i="1"/>
  <c r="C21" i="1"/>
  <c r="C24" i="1"/>
  <c r="N37" i="1"/>
  <c r="M37" i="1"/>
  <c r="L37" i="1"/>
  <c r="K37" i="1"/>
  <c r="J37" i="1"/>
  <c r="I37" i="1"/>
  <c r="H37" i="1"/>
  <c r="G37" i="1"/>
  <c r="F37" i="1"/>
  <c r="E37" i="1"/>
  <c r="D37" i="1"/>
  <c r="C37" i="1"/>
  <c r="N23" i="1"/>
  <c r="M23" i="1"/>
  <c r="L23" i="1"/>
  <c r="K23" i="1"/>
  <c r="J23" i="1"/>
  <c r="I23" i="1"/>
  <c r="H23" i="1"/>
  <c r="G23" i="1"/>
  <c r="F23" i="1"/>
  <c r="E23" i="1"/>
  <c r="D23" i="1"/>
  <c r="C23" i="1"/>
  <c r="O37" i="1" l="1"/>
  <c r="O23" i="1"/>
  <c r="N36" i="1"/>
  <c r="N34" i="1" s="1"/>
  <c r="M36" i="1"/>
  <c r="M34" i="1" s="1"/>
  <c r="L36" i="1"/>
  <c r="L34" i="1" s="1"/>
  <c r="K36" i="1"/>
  <c r="K34" i="1" s="1"/>
  <c r="J36" i="1"/>
  <c r="J34" i="1" s="1"/>
  <c r="I36" i="1"/>
  <c r="I34" i="1" s="1"/>
  <c r="H36" i="1"/>
  <c r="H34" i="1" s="1"/>
  <c r="G36" i="1"/>
  <c r="G34" i="1" s="1"/>
  <c r="F36" i="1"/>
  <c r="F34" i="1" s="1"/>
  <c r="E36" i="1"/>
  <c r="E34" i="1" s="1"/>
  <c r="D36" i="1"/>
  <c r="D34" i="1" s="1"/>
  <c r="C36" i="1"/>
  <c r="C34" i="1" s="1"/>
  <c r="N22" i="1"/>
  <c r="N20" i="1" s="1"/>
  <c r="M22" i="1"/>
  <c r="M20" i="1" s="1"/>
  <c r="L22" i="1"/>
  <c r="L20" i="1" s="1"/>
  <c r="K22" i="1"/>
  <c r="K20" i="1" s="1"/>
  <c r="J22" i="1"/>
  <c r="J20" i="1" s="1"/>
  <c r="I22" i="1"/>
  <c r="I20" i="1" s="1"/>
  <c r="H22" i="1"/>
  <c r="H20" i="1" s="1"/>
  <c r="G22" i="1"/>
  <c r="G20" i="1" s="1"/>
  <c r="F22" i="1"/>
  <c r="F20" i="1" s="1"/>
  <c r="E22" i="1"/>
  <c r="E20" i="1" s="1"/>
  <c r="D22" i="1"/>
  <c r="D20" i="1" s="1"/>
  <c r="C22" i="1"/>
  <c r="C20" i="1" s="1"/>
  <c r="O38" i="1" l="1"/>
  <c r="O36" i="1"/>
  <c r="O35" i="1"/>
  <c r="O34" i="1" s="1"/>
  <c r="O21" i="1" l="1"/>
  <c r="O22" i="1"/>
  <c r="O24" i="1"/>
  <c r="C9" i="1"/>
  <c r="O20" i="1" l="1"/>
  <c r="N33" i="1"/>
  <c r="M33" i="1"/>
  <c r="L33" i="1"/>
  <c r="K33" i="1"/>
  <c r="J33" i="1"/>
  <c r="I33" i="1"/>
  <c r="H33" i="1"/>
  <c r="G33" i="1"/>
  <c r="F33" i="1"/>
  <c r="E33" i="1"/>
  <c r="D33" i="1"/>
  <c r="C33" i="1"/>
  <c r="N18" i="1" l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9" i="1"/>
  <c r="M19" i="1"/>
  <c r="L19" i="1"/>
  <c r="K19" i="1"/>
  <c r="J19" i="1"/>
  <c r="I19" i="1"/>
  <c r="H19" i="1"/>
  <c r="G19" i="1"/>
  <c r="F19" i="1"/>
  <c r="E19" i="1"/>
  <c r="D19" i="1"/>
  <c r="C19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30" i="1" l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1" i="1" l="1"/>
  <c r="D4" i="2" l="1"/>
  <c r="B4" i="2"/>
  <c r="N16" i="1"/>
  <c r="M16" i="1"/>
  <c r="L16" i="1"/>
  <c r="K16" i="1"/>
  <c r="J16" i="1"/>
  <c r="I16" i="1"/>
  <c r="H16" i="1"/>
  <c r="G16" i="1"/>
  <c r="F16" i="1"/>
  <c r="E16" i="1"/>
  <c r="D16" i="1"/>
  <c r="C16" i="1"/>
  <c r="C1" i="2" l="1"/>
  <c r="B1" i="2"/>
  <c r="E1" i="2"/>
  <c r="K31" i="1"/>
  <c r="D27" i="1"/>
  <c r="L27" i="1"/>
  <c r="N27" i="1"/>
  <c r="G11" i="1"/>
  <c r="G25" i="1" s="1"/>
  <c r="H11" i="1"/>
  <c r="H25" i="1" s="1"/>
  <c r="O19" i="1"/>
  <c r="O18" i="1"/>
  <c r="O17" i="1"/>
  <c r="O12" i="1"/>
  <c r="J31" i="1"/>
  <c r="H31" i="1"/>
  <c r="K27" i="1"/>
  <c r="I27" i="1"/>
  <c r="H27" i="1"/>
  <c r="F27" i="1"/>
  <c r="K39" i="1" l="1"/>
  <c r="H39" i="1"/>
  <c r="O16" i="1"/>
  <c r="O15" i="1"/>
  <c r="O14" i="1"/>
  <c r="L11" i="1"/>
  <c r="L25" i="1" s="1"/>
  <c r="D11" i="1"/>
  <c r="D25" i="1" s="1"/>
  <c r="N31" i="1"/>
  <c r="N39" i="1" s="1"/>
  <c r="F31" i="1"/>
  <c r="F39" i="1" s="1"/>
  <c r="L31" i="1"/>
  <c r="L39" i="1" s="1"/>
  <c r="D31" i="1"/>
  <c r="D39" i="1" s="1"/>
  <c r="J11" i="1"/>
  <c r="J25" i="1" s="1"/>
  <c r="G27" i="1"/>
  <c r="J27" i="1"/>
  <c r="J39" i="1" s="1"/>
  <c r="M27" i="1"/>
  <c r="E27" i="1"/>
  <c r="G31" i="1"/>
  <c r="M31" i="1"/>
  <c r="E31" i="1"/>
  <c r="I31" i="1"/>
  <c r="I39" i="1" s="1"/>
  <c r="O33" i="1"/>
  <c r="O32" i="1"/>
  <c r="O29" i="1"/>
  <c r="O28" i="1"/>
  <c r="O30" i="1"/>
  <c r="O13" i="1"/>
  <c r="K11" i="1"/>
  <c r="K25" i="1" s="1"/>
  <c r="I11" i="1"/>
  <c r="I25" i="1" s="1"/>
  <c r="M11" i="1"/>
  <c r="M25" i="1" s="1"/>
  <c r="E11" i="1"/>
  <c r="E25" i="1" s="1"/>
  <c r="N11" i="1"/>
  <c r="N25" i="1" s="1"/>
  <c r="F11" i="1"/>
  <c r="F25" i="1" s="1"/>
  <c r="C27" i="1"/>
  <c r="C31" i="1"/>
  <c r="C11" i="1"/>
  <c r="C25" i="1" s="1"/>
  <c r="E39" i="1" l="1"/>
  <c r="G39" i="1"/>
  <c r="G40" i="1" s="1"/>
  <c r="M39" i="1"/>
  <c r="C39" i="1"/>
  <c r="O27" i="1"/>
  <c r="K40" i="1"/>
  <c r="I40" i="1"/>
  <c r="L40" i="1"/>
  <c r="H40" i="1"/>
  <c r="D40" i="1"/>
  <c r="O11" i="1"/>
  <c r="O25" i="1" s="1"/>
  <c r="M40" i="1"/>
  <c r="J40" i="1"/>
  <c r="O31" i="1"/>
  <c r="N40" i="1"/>
  <c r="F40" i="1"/>
  <c r="E3" i="2"/>
  <c r="C3" i="2"/>
  <c r="B3" i="2"/>
  <c r="E2" i="2"/>
  <c r="C2" i="2"/>
  <c r="B2" i="2"/>
  <c r="B2" i="1"/>
  <c r="O39" i="1" l="1"/>
  <c r="O40" i="1" s="1"/>
  <c r="E40" i="1"/>
  <c r="C40" i="1"/>
  <c r="C41" i="1" s="1"/>
  <c r="D9" i="1" s="1"/>
  <c r="D41" i="1" s="1"/>
  <c r="E9" i="1" s="1"/>
  <c r="E41" i="1" l="1"/>
  <c r="F9" i="1" s="1"/>
  <c r="F41" i="1" s="1"/>
  <c r="G9" i="1" s="1"/>
  <c r="G41" i="1" s="1"/>
  <c r="H9" i="1" s="1"/>
  <c r="H41" i="1" s="1"/>
  <c r="I9" i="1" s="1"/>
  <c r="I41" i="1" s="1"/>
  <c r="J9" i="1" s="1"/>
  <c r="J41" i="1" s="1"/>
  <c r="K9" i="1" s="1"/>
  <c r="K41" i="1" s="1"/>
  <c r="L9" i="1" s="1"/>
  <c r="L41" i="1" s="1"/>
  <c r="M9" i="1" s="1"/>
  <c r="M41" i="1" s="1"/>
  <c r="N9" i="1" s="1"/>
  <c r="N41" i="1" s="1"/>
  <c r="O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yannick dieu</author>
  </authors>
  <commentList>
    <comment ref="A1" authorId="0" shapeId="0" xr:uid="{BB9B4503-35EA-41B9-877A-9CDDFFD458A1}">
      <text>
        <r>
          <rPr>
            <sz val="9"/>
            <color indexed="81"/>
            <rFont val="Courier New"/>
            <family val="3"/>
          </rPr>
          <t>H5_01 - D1.001 - PR  - Modification alimentation Emplois
H5_01 - D1.002 - PR  - Alimentation janvier avec SPTRE2
H6_01 - D1.003 - PR  - 20.11.19 - Ajout encaissement et décaissement
H6_01 - D1.004 - YAD - 23.01.20 - Inversion du calcul postes FISKx
J1_01 - D1.005 - YAD - 24.11.23 - Evolutions RRBO 2023
J2_01 - D1.006 - PR  - 18.06.24 - Postes TVAD et TVAE désormais dans "TVA décaissée ou encaissée"</t>
        </r>
      </text>
    </comment>
  </commentList>
</comments>
</file>

<file path=xl/sharedStrings.xml><?xml version="1.0" encoding="utf-8"?>
<sst xmlns="http://schemas.openxmlformats.org/spreadsheetml/2006/main" count="702" uniqueCount="145">
  <si>
    <t>POUR INFORMATION DE L'ORGANE DÉLIBÉRANT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</si>
  <si>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</si>
  <si>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</si>
  <si>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</si>
  <si>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</si>
  <si>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</si>
  <si>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</si>
  <si>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</si>
  <si>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</si>
  <si>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</si>
  <si>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</si>
  <si>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</si>
  <si>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</si>
  <si>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</si>
  <si>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(1) SOLDE INITIAL (début de mois)</t>
  </si>
  <si>
    <t>ENCAISSEMENTS</t>
  </si>
  <si>
    <t>DECAISSEMENTS</t>
  </si>
  <si>
    <t>Personnel</t>
  </si>
  <si>
    <t>(2) SOLDE DU MOIS = A - B</t>
  </si>
  <si>
    <t>SOLDE CUMULE (1) + (2)</t>
  </si>
  <si>
    <t>A. TOTAL</t>
  </si>
  <si>
    <t>B. TOTAL</t>
  </si>
  <si>
    <t>But</t>
  </si>
  <si>
    <t>But de la soumission</t>
  </si>
  <si>
    <t>Poste</t>
  </si>
  <si>
    <t>Poste 1</t>
  </si>
  <si>
    <t>Poste 2</t>
  </si>
  <si>
    <t>Poste 3</t>
  </si>
  <si>
    <t>Poste 4</t>
  </si>
  <si>
    <t>Poste 5</t>
  </si>
  <si>
    <t>Montant débit</t>
  </si>
  <si>
    <t>Montant crédit</t>
  </si>
  <si>
    <t>Mois</t>
  </si>
  <si>
    <t>Nature</t>
  </si>
  <si>
    <t>CGR</t>
  </si>
  <si>
    <t>Etablissement</t>
  </si>
  <si>
    <t>Intitulé</t>
  </si>
  <si>
    <t>Année de l'exercice</t>
  </si>
  <si>
    <t>Chemin</t>
  </si>
  <si>
    <t>Job</t>
  </si>
  <si>
    <t>Utilisateur</t>
  </si>
  <si>
    <t>Date</t>
  </si>
  <si>
    <t>Etablissement :</t>
  </si>
  <si>
    <t>Année de l'exercice :</t>
  </si>
  <si>
    <t>CGR :</t>
  </si>
  <si>
    <t>Chemin :</t>
  </si>
  <si>
    <t>Poste :</t>
  </si>
  <si>
    <t>Job :</t>
  </si>
  <si>
    <t>Utilisateur :</t>
  </si>
  <si>
    <t>Date :</t>
  </si>
  <si>
    <t>Produits</t>
  </si>
  <si>
    <t>Subventions de l'état</t>
  </si>
  <si>
    <t>Autres ressources</t>
  </si>
  <si>
    <t>Ressources</t>
  </si>
  <si>
    <t>Financement de l'actif par l'état</t>
  </si>
  <si>
    <t>Financement de l'actif par des tiers autres que l'état</t>
  </si>
  <si>
    <t>Charges</t>
  </si>
  <si>
    <t>Fonctionnement autre que les charges de personnel</t>
  </si>
  <si>
    <t>Intervention (le cas échéant)</t>
  </si>
  <si>
    <t>Emplois</t>
  </si>
  <si>
    <t>Remboursements d'emprunts et autres dettes financières</t>
  </si>
  <si>
    <t>Tableau 5 : Plan de trésorerie</t>
  </si>
  <si>
    <t>TVA encaissée</t>
  </si>
  <si>
    <t>Dispositifs d'intervention pour compte de tiers</t>
  </si>
  <si>
    <t>Autres encaissements</t>
  </si>
  <si>
    <t>TVA décaissée</t>
  </si>
  <si>
    <t>Autres décaissements</t>
  </si>
  <si>
    <t>Autres encaissements (opérations au nom et pour le compte de tiers)</t>
  </si>
  <si>
    <t>Autres opérations au nom et pour le compte de tiers</t>
  </si>
  <si>
    <t>V1</t>
  </si>
  <si>
    <t>B1</t>
  </si>
  <si>
    <t>CTD</t>
  </si>
  <si>
    <t>HB</t>
  </si>
  <si>
    <t>CT</t>
  </si>
  <si>
    <t>01</t>
  </si>
  <si>
    <t>IND</t>
  </si>
  <si>
    <t>CENTRE</t>
  </si>
  <si>
    <t>Centre</t>
  </si>
  <si>
    <t>DAT</t>
  </si>
  <si>
    <t>CB</t>
  </si>
  <si>
    <t>Comptes budgétaires</t>
  </si>
  <si>
    <t>CB1</t>
  </si>
  <si>
    <t>PR</t>
  </si>
  <si>
    <t>CTE</t>
  </si>
  <si>
    <t>DI</t>
  </si>
  <si>
    <t>E</t>
  </si>
  <si>
    <t>EMR</t>
  </si>
  <si>
    <t>FON</t>
  </si>
  <si>
    <t>BU</t>
  </si>
  <si>
    <t>D</t>
  </si>
  <si>
    <t>INT</t>
  </si>
  <si>
    <t>OTD</t>
  </si>
  <si>
    <t>OT</t>
  </si>
  <si>
    <t>OTE</t>
  </si>
  <si>
    <t>PER</t>
  </si>
  <si>
    <t>SPTRE2</t>
  </si>
  <si>
    <t>ASE</t>
  </si>
  <si>
    <t>R</t>
  </si>
  <si>
    <t>AS</t>
  </si>
  <si>
    <t>Qualiac développement</t>
  </si>
  <si>
    <t>2015</t>
  </si>
  <si>
    <t>299068</t>
  </si>
  <si>
    <t>01/12/2015</t>
  </si>
  <si>
    <t>AUP</t>
  </si>
  <si>
    <t>APR</t>
  </si>
  <si>
    <t>AUR</t>
  </si>
  <si>
    <t>03</t>
  </si>
  <si>
    <t>06</t>
  </si>
  <si>
    <t>09</t>
  </si>
  <si>
    <t>02</t>
  </si>
  <si>
    <t>04</t>
  </si>
  <si>
    <t>05</t>
  </si>
  <si>
    <t>07</t>
  </si>
  <si>
    <t>FAA</t>
  </si>
  <si>
    <t>FAE</t>
  </si>
  <si>
    <t>SE</t>
  </si>
  <si>
    <t>08</t>
  </si>
  <si>
    <t>201D</t>
  </si>
  <si>
    <t>INV</t>
  </si>
  <si>
    <t>ICI</t>
  </si>
  <si>
    <t>ICID</t>
  </si>
  <si>
    <t>206D</t>
  </si>
  <si>
    <t>261D</t>
  </si>
  <si>
    <t>IFI</t>
  </si>
  <si>
    <t>IFID</t>
  </si>
  <si>
    <t>265D</t>
  </si>
  <si>
    <t>RSF</t>
  </si>
  <si>
    <t>FA</t>
  </si>
  <si>
    <t>SUE</t>
  </si>
  <si>
    <t>DECNR</t>
  </si>
  <si>
    <t>TVAD</t>
  </si>
  <si>
    <t>ENCNR</t>
  </si>
  <si>
    <t>TVAE</t>
  </si>
  <si>
    <t>ATD</t>
  </si>
  <si>
    <t>ATE</t>
  </si>
  <si>
    <t>V2</t>
  </si>
  <si>
    <t>B2</t>
  </si>
  <si>
    <t>10</t>
  </si>
  <si>
    <t>12</t>
  </si>
  <si>
    <t>11</t>
  </si>
  <si>
    <t>Investissements</t>
  </si>
  <si>
    <t>Fiscalité affectée</t>
  </si>
  <si>
    <t>Autres subventions</t>
  </si>
  <si>
    <t>Autres produits</t>
  </si>
  <si>
    <t>Autres décaissements (opérations au nom et pour le compte de tiers)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</si>
</sst>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-;\-* #,##0.00\ _F_-;_-* \-??\ _F_-;_-@_-"/>
    <numFmt numFmtId="165" formatCode="_-* #,##0.00&quot; F&quot;_-;\-* #,##0.00&quot; F&quot;_-;_-* \-??&quot; F&quot;_-;_-@_-"/>
    <numFmt numFmtId="166" formatCode="_-* #,##0.00\ _F_-;\-* #,##0.00\ _F_-;_-* &quot;-&quot;??\ _F_-;_-@_-"/>
    <numFmt numFmtId="167" formatCode="_-* #,##0.00\ &quot;F&quot;_-;\-* #,##0.00\ &quot;F&quot;_-;_-* &quot;-&quot;??\ &quot;F&quot;_-;_-@_-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6" fontId="5" fillId="0" borderId="0" applyFont="0" applyFill="0" applyBorder="0" applyAlignment="0" applyProtection="0"/>
    <xf numFmtId="165" fontId="4" fillId="0" borderId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5" fillId="0" borderId="0"/>
  </cellStyleXfs>
  <cellXfs count="55"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14" fontId="0" fillId="0" borderId="0" xfId="0" applyNumberFormat="1"/>
    <xf numFmtId="0" fontId="0" fillId="3" borderId="21" xfId="0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4" fontId="0" fillId="0" borderId="16" xfId="0" applyNumberFormat="1" applyBorder="1"/>
    <xf numFmtId="4" fontId="0" fillId="0" borderId="14" xfId="0" applyNumberFormat="1" applyBorder="1"/>
    <xf numFmtId="4" fontId="0" fillId="0" borderId="27" xfId="0" applyNumberFormat="1" applyBorder="1"/>
    <xf numFmtId="0" fontId="3" fillId="3" borderId="12" xfId="0" applyFont="1" applyFill="1" applyBorder="1" applyAlignment="1">
      <alignment vertical="center"/>
    </xf>
    <xf numFmtId="4" fontId="0" fillId="3" borderId="17" xfId="0" applyNumberFormat="1" applyFill="1" applyBorder="1"/>
    <xf numFmtId="4" fontId="0" fillId="3" borderId="8" xfId="0" applyNumberFormat="1" applyFill="1" applyBorder="1"/>
    <xf numFmtId="4" fontId="0" fillId="3" borderId="13" xfId="0" applyNumberFormat="1" applyFill="1" applyBorder="1"/>
    <xf numFmtId="0" fontId="3" fillId="4" borderId="12" xfId="0" applyFont="1" applyFill="1" applyBorder="1" applyAlignment="1">
      <alignment vertical="center"/>
    </xf>
    <xf numFmtId="4" fontId="0" fillId="4" borderId="17" xfId="0" applyNumberFormat="1" applyFill="1" applyBorder="1"/>
    <xf numFmtId="4" fontId="0" fillId="4" borderId="8" xfId="0" applyNumberFormat="1" applyFill="1" applyBorder="1"/>
    <xf numFmtId="4" fontId="0" fillId="4" borderId="13" xfId="0" applyNumberFormat="1" applyFill="1" applyBorder="1"/>
    <xf numFmtId="4" fontId="0" fillId="0" borderId="18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4" borderId="30" xfId="0" applyNumberFormat="1" applyFill="1" applyBorder="1"/>
    <xf numFmtId="0" fontId="3" fillId="4" borderId="25" xfId="0" applyFont="1" applyFill="1" applyBorder="1" applyAlignment="1">
      <alignment horizontal="right" vertical="center"/>
    </xf>
    <xf numFmtId="4" fontId="0" fillId="4" borderId="19" xfId="0" applyNumberFormat="1" applyFill="1" applyBorder="1"/>
    <xf numFmtId="0" fontId="3" fillId="3" borderId="25" xfId="0" applyFont="1" applyFill="1" applyBorder="1" applyAlignment="1">
      <alignment vertical="center"/>
    </xf>
    <xf numFmtId="4" fontId="0" fillId="3" borderId="19" xfId="0" applyNumberFormat="1" applyFill="1" applyBorder="1"/>
    <xf numFmtId="4" fontId="0" fillId="3" borderId="9" xfId="0" applyNumberFormat="1" applyFill="1" applyBorder="1"/>
    <xf numFmtId="4" fontId="0" fillId="3" borderId="10" xfId="0" applyNumberFormat="1" applyFill="1" applyBorder="1"/>
    <xf numFmtId="0" fontId="3" fillId="4" borderId="12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4" fontId="0" fillId="3" borderId="30" xfId="0" applyNumberFormat="1" applyFill="1" applyBorder="1"/>
    <xf numFmtId="0" fontId="3" fillId="4" borderId="26" xfId="0" applyFont="1" applyFill="1" applyBorder="1" applyAlignment="1">
      <alignment horizontal="right" vertical="center"/>
    </xf>
    <xf numFmtId="4" fontId="0" fillId="4" borderId="20" xfId="0" applyNumberFormat="1" applyFill="1" applyBorder="1"/>
    <xf numFmtId="4" fontId="0" fillId="4" borderId="11" xfId="0" applyNumberFormat="1" applyFill="1" applyBorder="1"/>
    <xf numFmtId="4" fontId="0" fillId="4" borderId="31" xfId="0" applyNumberFormat="1" applyFill="1" applyBorder="1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4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4" fontId="0" fillId="0" borderId="0" xfId="0" quotePrefix="1" applyNumberFormat="1"/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</cellXfs>
  <cellStyles count="11">
    <cellStyle name="Milliers 2" xfId="3" xr:uid="{00000000-0005-0000-0000-000000000000}"/>
    <cellStyle name="Milliers 3" xfId="4" xr:uid="{00000000-0005-0000-0000-000001000000}"/>
    <cellStyle name="Milliers 4" xfId="5" xr:uid="{00000000-0005-0000-0000-000002000000}"/>
    <cellStyle name="Milliers 5" xfId="6" xr:uid="{00000000-0005-0000-0000-000003000000}"/>
    <cellStyle name="Milliers 6" xfId="2" xr:uid="{00000000-0005-0000-0000-000004000000}"/>
    <cellStyle name="Monétaire 2" xfId="7" xr:uid="{00000000-0005-0000-0000-000005000000}"/>
    <cellStyle name="Monétaire 2 2" xfId="8" xr:uid="{00000000-0005-0000-0000-000006000000}"/>
    <cellStyle name="Normal" xfId="0" builtinId="0"/>
    <cellStyle name="Normal 2" xfId="9" xr:uid="{00000000-0005-0000-0000-000008000000}"/>
    <cellStyle name="Normal 3" xfId="10" xr:uid="{00000000-0005-0000-0000-000009000000}"/>
    <cellStyle name="Normal 4" xfId="1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1"/>
  <sheetViews>
    <sheetView showGridLines="0" showZeros="0" tabSelected="1" zoomScale="80" zoomScaleNormal="80" workbookViewId="0"/>
  </sheetViews>
  <sheetFormatPr baseColWidth="10" defaultRowHeight="15" x14ac:dyDescent="0.25"/>
  <cols>
    <col min="1" max="1" width="3.28515625" customWidth="1"/>
    <col min="2" max="2" width="66.28515625" bestFit="1" customWidth="1"/>
    <col min="3" max="15" width="16.7109375" customWidth="1"/>
  </cols>
  <sheetData>
    <row r="1" spans="2:15" ht="15" customHeight="1" x14ac:dyDescent="0.25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2" t="str">
        <f>CONCATENATE("Edité au : ",Donnees!F4)</f>
        <v>Edité au : 01/12/2015</v>
      </c>
    </row>
    <row r="2" spans="2:15" ht="15" customHeight="1" x14ac:dyDescent="0.25">
      <c r="B2" s="49" t="str">
        <f>Donnees!C1</f>
        <v>Qualiac développement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2:15" ht="15" customHeight="1" x14ac:dyDescent="0.25"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2:15" ht="15" customHeight="1" x14ac:dyDescent="0.25">
      <c r="B4" s="50" t="s">
        <v>61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2:15" ht="15" customHeight="1" x14ac:dyDescent="0.2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 ht="15" customHeight="1" x14ac:dyDescent="0.25">
      <c r="B6" s="51" t="s">
        <v>0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2:15" ht="15" customHeight="1" thickBot="1" x14ac:dyDescent="0.3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2:15" ht="15" customHeight="1" x14ac:dyDescent="0.25">
      <c r="B8" s="5"/>
      <c r="C8" s="6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8" t="s">
        <v>13</v>
      </c>
    </row>
    <row r="9" spans="2:15" ht="15" customHeight="1" thickBot="1" x14ac:dyDescent="0.3">
      <c r="B9" s="9" t="s">
        <v>14</v>
      </c>
      <c r="C9" s="10">
        <f>-SUMIFS(Donnees!$I$6:$I$999999,Donnees!$K$6:$K$999999,"01",Donnees!$E$6:$E$999999,"SPTRE2")+SUMIFS(Donnees!$J$6:$J$999999,Donnees!$K$6:$K$999999,"01",Donnees!$E$6:$E$999999,"SPTRE2")</f>
        <v>2592000</v>
      </c>
      <c r="D9" s="11">
        <f>+C41</f>
        <v>18688000</v>
      </c>
      <c r="E9" s="11">
        <f t="shared" ref="E9:N9" si="0">+D41</f>
        <v>14728000</v>
      </c>
      <c r="F9" s="11">
        <f t="shared" si="0"/>
        <v>12670000</v>
      </c>
      <c r="G9" s="11">
        <f t="shared" si="0"/>
        <v>33506000</v>
      </c>
      <c r="H9" s="11">
        <f t="shared" si="0"/>
        <v>29718000</v>
      </c>
      <c r="I9" s="11">
        <f t="shared" si="0"/>
        <v>26333310</v>
      </c>
      <c r="J9" s="11">
        <f t="shared" si="0"/>
        <v>42243570</v>
      </c>
      <c r="K9" s="11">
        <f t="shared" si="0"/>
        <v>38965970</v>
      </c>
      <c r="L9" s="11">
        <f t="shared" si="0"/>
        <v>38483970</v>
      </c>
      <c r="M9" s="11">
        <f t="shared" si="0"/>
        <v>40709970</v>
      </c>
      <c r="N9" s="11">
        <f t="shared" si="0"/>
        <v>45969970</v>
      </c>
      <c r="O9" s="12">
        <f>+N41</f>
        <v>54920970</v>
      </c>
    </row>
    <row r="10" spans="2:15" ht="15" customHeight="1" thickBot="1" x14ac:dyDescent="0.3">
      <c r="B10" s="13" t="s">
        <v>15</v>
      </c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</row>
    <row r="11" spans="2:15" ht="15" customHeight="1" thickBot="1" x14ac:dyDescent="0.3">
      <c r="B11" s="17" t="s">
        <v>50</v>
      </c>
      <c r="C11" s="18">
        <f t="shared" ref="C11:O11" si="1">SUM(C12:C15)</f>
        <v>22712000</v>
      </c>
      <c r="D11" s="19">
        <f t="shared" si="1"/>
        <v>0</v>
      </c>
      <c r="E11" s="19">
        <f t="shared" si="1"/>
        <v>1048000</v>
      </c>
      <c r="F11" s="19">
        <f t="shared" si="1"/>
        <v>21800000</v>
      </c>
      <c r="G11" s="19">
        <f t="shared" si="1"/>
        <v>944000</v>
      </c>
      <c r="H11" s="19">
        <f t="shared" si="1"/>
        <v>502000</v>
      </c>
      <c r="I11" s="19">
        <f t="shared" si="1"/>
        <v>21800000</v>
      </c>
      <c r="J11" s="19">
        <f t="shared" si="1"/>
        <v>584000</v>
      </c>
      <c r="K11" s="19">
        <f t="shared" si="1"/>
        <v>112000</v>
      </c>
      <c r="L11" s="19">
        <f t="shared" si="1"/>
        <v>12960000</v>
      </c>
      <c r="M11" s="19">
        <f t="shared" si="1"/>
        <v>11250000</v>
      </c>
      <c r="N11" s="19">
        <f t="shared" si="1"/>
        <v>14330000</v>
      </c>
      <c r="O11" s="20">
        <f t="shared" si="1"/>
        <v>108042000</v>
      </c>
    </row>
    <row r="12" spans="2:15" ht="15" customHeight="1" x14ac:dyDescent="0.25">
      <c r="B12" s="40" t="s">
        <v>51</v>
      </c>
      <c r="C12" s="21">
        <f>-SUMIFS(Donnees!$I$6:$I$1000000,Donnees!$K$6:$K$1000000,"01",Donnees!$G$6:$G$1000000,"SUE")+SUMIFS(Donnees!$J$6:$J$1000000,Donnees!$K$6:$K$1000000,"01",Donnees!$G$6:$G$1000000,"SUE")</f>
        <v>21800000</v>
      </c>
      <c r="D12" s="22">
        <f>-SUMIFS(Donnees!$I$6:$I$1000000,Donnees!$K$6:$K$1000000,"02",Donnees!$G$6:$G$1000000,"SUE")+SUMIFS(Donnees!$J$6:$J$1000000,Donnees!$K$6:$K$1000000,"02",Donnees!$G$6:$G$1000000,"SUE")</f>
        <v>0</v>
      </c>
      <c r="E12" s="22">
        <f>-SUMIFS(Donnees!$I$6:$I$1000000,Donnees!$K$6:$K$1000000,"03",Donnees!$G$6:$G$1000000,"SUE")+SUMIFS(Donnees!$J$6:$J$1000000,Donnees!$K$6:$K$1000000,"03",Donnees!$G$6:$G$1000000,"SUE")</f>
        <v>0</v>
      </c>
      <c r="F12" s="22">
        <f>-SUMIFS(Donnees!$I$6:$I$1000000,Donnees!$K$6:$K$1000000,"04",Donnees!$G$6:$G$1000000,"SUE")+SUMIFS(Donnees!$J$6:$J$1000000,Donnees!$K$6:$K$1000000,"04",Donnees!$G$6:$G$1000000,"SUE")</f>
        <v>21800000</v>
      </c>
      <c r="G12" s="22">
        <f>-SUMIFS(Donnees!$I$6:$I$1000000,Donnees!$K$6:$K$1000000,"05",Donnees!$G$6:$G$1000000,"SUE")+SUMIFS(Donnees!$J$6:$J$1000000,Donnees!$K$6:$K$1000000,"05",Donnees!$G$6:$G$1000000,"SUE")</f>
        <v>0</v>
      </c>
      <c r="H12" s="22">
        <f>-SUMIFS(Donnees!$I$6:$I$1000000,Donnees!$K$6:$K$1000000,"06",Donnees!$G$6:$G$1000000,"SUE")+SUMIFS(Donnees!$J$6:$J$1000000,Donnees!$K$6:$K$1000000,"06",Donnees!$G$6:$G$1000000,"SUE")</f>
        <v>0</v>
      </c>
      <c r="I12" s="22">
        <f>-SUMIFS(Donnees!$I$6:$I$1000000,Donnees!$K$6:$K$1000000,"07",Donnees!$G$6:$G$1000000,"SUE")+SUMIFS(Donnees!$J$6:$J$1000000,Donnees!$K$6:$K$1000000,"07",Donnees!$G$6:$G$1000000,"SUE")</f>
        <v>21800000</v>
      </c>
      <c r="J12" s="22">
        <f>-SUMIFS(Donnees!$I$6:$I$1000000,Donnees!$K$6:$K$1000000,"08",Donnees!$G$6:$G$1000000,"SUE")+SUMIFS(Donnees!$J$6:$J$1000000,Donnees!$K$6:$K$1000000,"08",Donnees!$G$6:$G$1000000,"SUE")</f>
        <v>0</v>
      </c>
      <c r="K12" s="22">
        <f>-SUMIFS(Donnees!$I$6:$I$1000000,Donnees!$K$6:$K$1000000,"09",Donnees!$G$6:$G$1000000,"SUE")+SUMIFS(Donnees!$J$6:$J$1000000,Donnees!$K$6:$K$1000000,"09",Donnees!$G$6:$G$1000000,"SUE")</f>
        <v>0</v>
      </c>
      <c r="L12" s="22">
        <f>-SUMIFS(Donnees!$I$6:$I$1000000,Donnees!$K$6:$K$1000000,"10",Donnees!$G$6:$G$1000000,"SUE")+SUMIFS(Donnees!$J$6:$J$1000000,Donnees!$K$6:$K$1000000,"10",Donnees!$G$6:$G$1000000,"SUE")</f>
        <v>10080000</v>
      </c>
      <c r="M12" s="22">
        <f>-SUMIFS(Donnees!$I$6:$I$1000000,Donnees!$K$6:$K$1000000,"11",Donnees!$G$6:$G$1000000,"SUE")+SUMIFS(Donnees!$J$6:$J$1000000,Donnees!$K$6:$K$1000000,"11",Donnees!$G$6:$G$1000000,"SUE")</f>
        <v>11250000</v>
      </c>
      <c r="N12" s="22">
        <f>-SUMIFS(Donnees!$I$6:$I$1000000,Donnees!$K$6:$K$1000000,"12",Donnees!$G$6:$G$1000000,"SUE")+SUMIFS(Donnees!$J$6:$J$1000000,Donnees!$K$6:$K$1000000,"12",Donnees!$G$6:$G$1000000,"SUE")</f>
        <v>12890000</v>
      </c>
      <c r="O12" s="23">
        <f>SUM(C12:N12)</f>
        <v>99620000</v>
      </c>
    </row>
    <row r="13" spans="2:15" ht="15" customHeight="1" x14ac:dyDescent="0.25">
      <c r="B13" s="43" t="s">
        <v>141</v>
      </c>
      <c r="C13" s="21">
        <f>-SUMIFS(Donnees!$I$6:$I$1000000,Donnees!$K$6:$K$1000000,"01",Donnees!$G$6:$G$1000000,"RSF")+SUMIFS(Donnees!$J$6:$J$1000000,Donnees!$K$6:$K$1000000,"01",Donnees!$G$6:$G$1000000,"RSF")</f>
        <v>336000</v>
      </c>
      <c r="D13" s="22">
        <f>-SUMIFS(Donnees!$I$6:$I$1000000,Donnees!$K$6:$K$1000000,"02",Donnees!$G$6:$G$1000000,"RSF")+SUMIFS(Donnees!$J$6:$J$1000000,Donnees!$K$6:$K$1000000,"02",Donnees!$G$6:$G$1000000,"RSF")</f>
        <v>0</v>
      </c>
      <c r="E13" s="22">
        <f>-SUMIFS(Donnees!$I$6:$I$1000000,Donnees!$K$6:$K$1000000,"03",Donnees!$G$6:$G$1000000,"RSF")+SUMIFS(Donnees!$J$6:$J$1000000,Donnees!$K$6:$K$1000000,"03",Donnees!$G$6:$G$1000000,"RSF")</f>
        <v>856000</v>
      </c>
      <c r="F13" s="22">
        <f>-SUMIFS(Donnees!$I$6:$I$1000000,Donnees!$K$6:$K$1000000,"04",Donnees!$G$6:$G$1000000,"RSF")+SUMIFS(Donnees!$J$6:$J$1000000,Donnees!$K$6:$K$1000000,"04",Donnees!$G$6:$G$1000000,"RSF")</f>
        <v>0</v>
      </c>
      <c r="G13" s="22">
        <f>-SUMIFS(Donnees!$I$6:$I$1000000,Donnees!$K$6:$K$1000000,"05",Donnees!$G$6:$G$1000000,"RSF")+SUMIFS(Donnees!$J$6:$J$1000000,Donnees!$K$6:$K$1000000,"05",Donnees!$G$6:$G$1000000,"RSF")</f>
        <v>944000</v>
      </c>
      <c r="H13" s="22">
        <f>-SUMIFS(Donnees!$I$6:$I$1000000,Donnees!$K$6:$K$1000000,"06",Donnees!$G$6:$G$1000000,"RSF")+SUMIFS(Donnees!$J$6:$J$1000000,Donnees!$K$6:$K$1000000,"06",Donnees!$G$6:$G$1000000,"RSF")</f>
        <v>0</v>
      </c>
      <c r="I13" s="22">
        <f>-SUMIFS(Donnees!$I$6:$I$1000000,Donnees!$K$6:$K$1000000,"07",Donnees!$G$6:$G$1000000,"RSF")+SUMIFS(Donnees!$J$6:$J$1000000,Donnees!$K$6:$K$1000000,"07",Donnees!$G$6:$G$1000000,"RSF")</f>
        <v>0</v>
      </c>
      <c r="J13" s="22">
        <f>-SUMIFS(Donnees!$I$6:$I$1000000,Donnees!$K$6:$K$1000000,"08",Donnees!$G$6:$G$1000000,"RSF")+SUMIFS(Donnees!$J$6:$J$1000000,Donnees!$K$6:$K$1000000,"08",Donnees!$G$6:$G$1000000,"RSF")</f>
        <v>584000</v>
      </c>
      <c r="K13" s="22">
        <f>-SUMIFS(Donnees!$I$6:$I$1000000,Donnees!$K$6:$K$1000000,"09",Donnees!$G$6:$G$1000000,"RSF")+SUMIFS(Donnees!$J$6:$J$1000000,Donnees!$K$6:$K$1000000,"09",Donnees!$G$6:$G$1000000,"RSF")</f>
        <v>0</v>
      </c>
      <c r="L13" s="22">
        <f>-SUMIFS(Donnees!$I$6:$I$1000000,Donnees!$K$6:$K$1000000,"10",Donnees!$G$6:$G$1000000,"RSF")+SUMIFS(Donnees!$J$6:$J$1000000,Donnees!$K$6:$K$1000000,"10",Donnees!$G$6:$G$1000000,"RSF")</f>
        <v>0</v>
      </c>
      <c r="M13" s="22">
        <f>-SUMIFS(Donnees!$I$6:$I$1000000,Donnees!$K$6:$K$1000000,"11",Donnees!$G$6:$G$1000000,"RSF")+SUMIFS(Donnees!$J$6:$J$1000000,Donnees!$K$6:$K$1000000,"11",Donnees!$G$6:$G$1000000,"RSF")</f>
        <v>0</v>
      </c>
      <c r="N13" s="22">
        <f>-SUMIFS(Donnees!$I$6:$I$1000000,Donnees!$K$6:$K$1000000,"12",Donnees!$G$6:$G$1000000,"RSF")+SUMIFS(Donnees!$J$6:$J$1000000,Donnees!$K$6:$K$1000000,"12",Donnees!$G$6:$G$1000000,"RSF")</f>
        <v>0</v>
      </c>
      <c r="O13" s="23">
        <f t="shared" ref="O13:O19" si="2">SUM(C13:N13)</f>
        <v>2720000</v>
      </c>
    </row>
    <row r="14" spans="2:15" ht="15" customHeight="1" x14ac:dyDescent="0.25">
      <c r="B14" s="43" t="s">
        <v>142</v>
      </c>
      <c r="C14" s="21">
        <f>-SUMIFS(Donnees!$I$6:$I$1000000,Donnees!$K$6:$K$1000000,"01",Donnees!$G$6:$G$1000000,"ASE")+SUMIFS(Donnees!$J$6:$J$1000000,Donnees!$K$6:$K$1000000,"01",Donnees!$G$6:$G$1000000,"ASE")</f>
        <v>384000</v>
      </c>
      <c r="D14" s="22">
        <f>-SUMIFS(Donnees!$I$6:$I$1000000,Donnees!$K$6:$K$1000000,"02",Donnees!$G$6:$G$1000000,"ASE")+SUMIFS(Donnees!$J$6:$J$1000000,Donnees!$K$6:$K$1000000,"02",Donnees!$G$6:$G$1000000,"ASE")</f>
        <v>0</v>
      </c>
      <c r="E14" s="22">
        <f>-SUMIFS(Donnees!$I$6:$I$1000000,Donnees!$K$6:$K$1000000,"03",Donnees!$G$6:$G$1000000,"ASE")+SUMIFS(Donnees!$J$6:$J$1000000,Donnees!$K$6:$K$1000000,"03",Donnees!$G$6:$G$1000000,"ASE")</f>
        <v>0</v>
      </c>
      <c r="F14" s="22">
        <f>-SUMIFS(Donnees!$I$6:$I$1000000,Donnees!$K$6:$K$1000000,"04",Donnees!$G$6:$G$1000000,"ASE")+SUMIFS(Donnees!$J$6:$J$1000000,Donnees!$K$6:$K$1000000,"04",Donnees!$G$6:$G$1000000,"ASE")</f>
        <v>0</v>
      </c>
      <c r="G14" s="22">
        <f>-SUMIFS(Donnees!$I$6:$I$1000000,Donnees!$K$6:$K$1000000,"05",Donnees!$G$6:$G$1000000,"ASE")+SUMIFS(Donnees!$J$6:$J$1000000,Donnees!$K$6:$K$1000000,"05",Donnees!$G$6:$G$1000000,"ASE")</f>
        <v>0</v>
      </c>
      <c r="H14" s="22">
        <f>-SUMIFS(Donnees!$I$6:$I$1000000,Donnees!$K$6:$K$1000000,"06",Donnees!$G$6:$G$1000000,"ASE")+SUMIFS(Donnees!$J$6:$J$1000000,Donnees!$K$6:$K$1000000,"06",Donnees!$G$6:$G$1000000,"ASE")</f>
        <v>0</v>
      </c>
      <c r="I14" s="22">
        <f>-SUMIFS(Donnees!$I$6:$I$1000000,Donnees!$K$6:$K$1000000,"07",Donnees!$G$6:$G$1000000,"ASE")+SUMIFS(Donnees!$J$6:$J$1000000,Donnees!$K$6:$K$1000000,"07",Donnees!$G$6:$G$1000000,"ASE")</f>
        <v>0</v>
      </c>
      <c r="J14" s="22">
        <f>-SUMIFS(Donnees!$I$6:$I$1000000,Donnees!$K$6:$K$1000000,"08",Donnees!$G$6:$G$1000000,"ASE")+SUMIFS(Donnees!$J$6:$J$1000000,Donnees!$K$6:$K$1000000,"08",Donnees!$G$6:$G$1000000,"ASE")</f>
        <v>0</v>
      </c>
      <c r="K14" s="22">
        <f>-SUMIFS(Donnees!$I$6:$I$1000000,Donnees!$K$6:$K$1000000,"09",Donnees!$G$6:$G$1000000,"ASE")+SUMIFS(Donnees!$J$6:$J$1000000,Donnees!$K$6:$K$1000000,"09",Donnees!$G$6:$G$1000000,"ASE")</f>
        <v>0</v>
      </c>
      <c r="L14" s="22">
        <f>-SUMIFS(Donnees!$I$6:$I$1000000,Donnees!$K$6:$K$1000000,"10",Donnees!$G$6:$G$1000000,"ASE")+SUMIFS(Donnees!$J$6:$J$1000000,Donnees!$K$6:$K$1000000,"10",Donnees!$G$6:$G$1000000,"ASE")</f>
        <v>2880000</v>
      </c>
      <c r="M14" s="22">
        <f>-SUMIFS(Donnees!$I$6:$I$1000000,Donnees!$K$6:$K$1000000,"11",Donnees!$G$6:$G$1000000,"ASE")+SUMIFS(Donnees!$J$6:$J$1000000,Donnees!$K$6:$K$1000000,"11",Donnees!$G$6:$G$1000000,"ASE")</f>
        <v>0</v>
      </c>
      <c r="N14" s="22">
        <f>-SUMIFS(Donnees!$I$6:$I$1000000,Donnees!$K$6:$K$1000000,"12",Donnees!$G$6:$G$1000000,"ASE")+SUMIFS(Donnees!$J$6:$J$1000000,Donnees!$K$6:$K$1000000,"12",Donnees!$G$6:$G$1000000,"ASE")</f>
        <v>0</v>
      </c>
      <c r="O14" s="23">
        <f t="shared" si="2"/>
        <v>3264000</v>
      </c>
    </row>
    <row r="15" spans="2:15" ht="15" customHeight="1" thickBot="1" x14ac:dyDescent="0.3">
      <c r="B15" s="43" t="s">
        <v>143</v>
      </c>
      <c r="C15" s="21">
        <f>-SUMIFS(Donnees!$I$6:$I$1000000,Donnees!$K$6:$K$1000000,"01",Donnees!$G$6:$G$1000000,"AUP")+SUMIFS(Donnees!$J$6:$J$1000000,Donnees!$K$6:$K$1000000,"01",Donnees!$G$6:$G$1000000,"AUP")</f>
        <v>192000</v>
      </c>
      <c r="D15" s="22">
        <f>-SUMIFS(Donnees!$I$6:$I$1000000,Donnees!$K$6:$K$1000000,"02",Donnees!$G$6:$G$1000000,"AUP")+SUMIFS(Donnees!$J$6:$J$1000000,Donnees!$K$6:$K$1000000,"02",Donnees!$G$6:$G$1000000,"AUP")</f>
        <v>0</v>
      </c>
      <c r="E15" s="22">
        <f>-SUMIFS(Donnees!$I$6:$I$1000000,Donnees!$K$6:$K$1000000,"03",Donnees!$G$6:$G$1000000,"AUP")+SUMIFS(Donnees!$J$6:$J$1000000,Donnees!$K$6:$K$1000000,"03",Donnees!$G$6:$G$1000000,"AUP")</f>
        <v>192000</v>
      </c>
      <c r="F15" s="22">
        <f>-SUMIFS(Donnees!$I$6:$I$1000000,Donnees!$K$6:$K$1000000,"04",Donnees!$G$6:$G$1000000,"AUP")+SUMIFS(Donnees!$J$6:$J$1000000,Donnees!$K$6:$K$1000000,"04",Donnees!$G$6:$G$1000000,"AUP")</f>
        <v>0</v>
      </c>
      <c r="G15" s="22">
        <f>-SUMIFS(Donnees!$I$6:$I$1000000,Donnees!$K$6:$K$1000000,"05",Donnees!$G$6:$G$1000000,"AUP")+SUMIFS(Donnees!$J$6:$J$1000000,Donnees!$K$6:$K$1000000,"05",Donnees!$G$6:$G$1000000,"AUP")</f>
        <v>0</v>
      </c>
      <c r="H15" s="22">
        <f>-SUMIFS(Donnees!$I$6:$I$1000000,Donnees!$K$6:$K$1000000,"06",Donnees!$G$6:$G$1000000,"AUP")+SUMIFS(Donnees!$J$6:$J$1000000,Donnees!$K$6:$K$1000000,"06",Donnees!$G$6:$G$1000000,"AUP")</f>
        <v>502000</v>
      </c>
      <c r="I15" s="22">
        <f>-SUMIFS(Donnees!$I$6:$I$1000000,Donnees!$K$6:$K$1000000,"07",Donnees!$G$6:$G$1000000,"AUP")+SUMIFS(Donnees!$J$6:$J$1000000,Donnees!$K$6:$K$1000000,"07",Donnees!$G$6:$G$1000000,"AUP")</f>
        <v>0</v>
      </c>
      <c r="J15" s="22">
        <f>-SUMIFS(Donnees!$I$6:$I$1000000,Donnees!$K$6:$K$1000000,"08",Donnees!$G$6:$G$1000000,"AUP")+SUMIFS(Donnees!$J$6:$J$1000000,Donnees!$K$6:$K$1000000,"08",Donnees!$G$6:$G$1000000,"AUP")</f>
        <v>0</v>
      </c>
      <c r="K15" s="22">
        <f>-SUMIFS(Donnees!$I$6:$I$1000000,Donnees!$K$6:$K$1000000,"09",Donnees!$G$6:$G$1000000,"AUP")+SUMIFS(Donnees!$J$6:$J$1000000,Donnees!$K$6:$K$1000000,"09",Donnees!$G$6:$G$1000000,"AUP")</f>
        <v>112000</v>
      </c>
      <c r="L15" s="22">
        <f>-SUMIFS(Donnees!$I$6:$I$1000000,Donnees!$K$6:$K$1000000,"10",Donnees!$G$6:$G$1000000,"AUP")+SUMIFS(Donnees!$J$6:$J$1000000,Donnees!$K$6:$K$1000000,"10",Donnees!$G$6:$G$1000000,"AUP")</f>
        <v>0</v>
      </c>
      <c r="M15" s="22">
        <f>-SUMIFS(Donnees!$I$6:$I$1000000,Donnees!$K$6:$K$1000000,"11",Donnees!$G$6:$G$1000000,"AUP")+SUMIFS(Donnees!$J$6:$J$1000000,Donnees!$K$6:$K$1000000,"11",Donnees!$G$6:$G$1000000,"AUP")</f>
        <v>0</v>
      </c>
      <c r="N15" s="22">
        <f>-SUMIFS(Donnees!$I$6:$I$1000000,Donnees!$K$6:$K$1000000,"12",Donnees!$G$6:$G$1000000,"AUP")+SUMIFS(Donnees!$J$6:$J$1000000,Donnees!$K$6:$K$1000000,"12",Donnees!$G$6:$G$1000000,"AUP")</f>
        <v>1440000</v>
      </c>
      <c r="O15" s="23">
        <f t="shared" si="2"/>
        <v>2438000</v>
      </c>
    </row>
    <row r="16" spans="2:15" ht="15" customHeight="1" thickBot="1" x14ac:dyDescent="0.3">
      <c r="B16" s="17" t="s">
        <v>53</v>
      </c>
      <c r="C16" s="18">
        <f>SUM(C17:C19)</f>
        <v>1200000</v>
      </c>
      <c r="D16" s="18">
        <f t="shared" ref="D16:N16" si="3">SUM(D17:D19)</f>
        <v>0</v>
      </c>
      <c r="E16" s="18">
        <f t="shared" si="3"/>
        <v>336000</v>
      </c>
      <c r="F16" s="18">
        <f t="shared" si="3"/>
        <v>404000</v>
      </c>
      <c r="G16" s="18">
        <f t="shared" si="3"/>
        <v>0</v>
      </c>
      <c r="H16" s="18">
        <f t="shared" si="3"/>
        <v>206000</v>
      </c>
      <c r="I16" s="18">
        <f t="shared" si="3"/>
        <v>614000</v>
      </c>
      <c r="J16" s="18">
        <f t="shared" si="3"/>
        <v>0</v>
      </c>
      <c r="K16" s="18">
        <f t="shared" si="3"/>
        <v>146000</v>
      </c>
      <c r="L16" s="18">
        <f t="shared" si="3"/>
        <v>0</v>
      </c>
      <c r="M16" s="18">
        <f t="shared" si="3"/>
        <v>1200000</v>
      </c>
      <c r="N16" s="18">
        <f t="shared" si="3"/>
        <v>0</v>
      </c>
      <c r="O16" s="24">
        <f>SUM(O17:O19)</f>
        <v>4106000</v>
      </c>
    </row>
    <row r="17" spans="2:15" ht="15" customHeight="1" x14ac:dyDescent="0.25">
      <c r="B17" s="40" t="s">
        <v>54</v>
      </c>
      <c r="C17" s="21">
        <f>-SUMIFS(Donnees!$I$6:$I$1000000,Donnees!$K$6:$K$1000000,"01",Donnees!$G$6:$G$1000000,"FAE")+SUMIFS(Donnees!$J$6:$J$1000000,Donnees!$K$6:$K$1000000,"01",Donnees!$G$6:$G$1000000,"FAE")</f>
        <v>672000</v>
      </c>
      <c r="D17" s="22">
        <f>-SUMIFS(Donnees!$I$6:$I$1000000,Donnees!$K$6:$K$1000000,"02",Donnees!$G$6:$G$1000000,"FAE")+SUMIFS(Donnees!$J$6:$J$1000000,Donnees!$K$6:$K$1000000,"02",Donnees!$G$6:$G$1000000,"FAE")</f>
        <v>0</v>
      </c>
      <c r="E17" s="22">
        <f>-SUMIFS(Donnees!$I$6:$I$1000000,Donnees!$K$6:$K$1000000,"03",Donnees!$G$6:$G$1000000,"FAE")+SUMIFS(Donnees!$J$6:$J$1000000,Donnees!$K$6:$K$1000000,"03",Donnees!$G$6:$G$1000000,"FAE")</f>
        <v>0</v>
      </c>
      <c r="F17" s="22">
        <f>-SUMIFS(Donnees!$I$6:$I$1000000,Donnees!$K$6:$K$1000000,"04",Donnees!$G$6:$G$1000000,"FAE")+SUMIFS(Donnees!$J$6:$J$1000000,Donnees!$K$6:$K$1000000,"04",Donnees!$G$6:$G$1000000,"FAE")</f>
        <v>102000</v>
      </c>
      <c r="G17" s="22">
        <f>-SUMIFS(Donnees!$I$6:$I$1000000,Donnees!$K$6:$K$1000000,"05",Donnees!$G$6:$G$1000000,"FAE")+SUMIFS(Donnees!$J$6:$J$1000000,Donnees!$K$6:$K$1000000,"05",Donnees!$G$6:$G$1000000,"FAE")</f>
        <v>0</v>
      </c>
      <c r="H17" s="22">
        <f>-SUMIFS(Donnees!$I$6:$I$1000000,Donnees!$K$6:$K$1000000,"06",Donnees!$G$6:$G$1000000,"FAE")+SUMIFS(Donnees!$J$6:$J$1000000,Donnees!$K$6:$K$1000000,"06",Donnees!$G$6:$G$1000000,"FAE")</f>
        <v>0</v>
      </c>
      <c r="I17" s="22">
        <f>-SUMIFS(Donnees!$I$6:$I$1000000,Donnees!$K$6:$K$1000000,"07",Donnees!$G$6:$G$1000000,"FAE")+SUMIFS(Donnees!$J$6:$J$1000000,Donnees!$K$6:$K$1000000,"07",Donnees!$G$6:$G$1000000,"FAE")</f>
        <v>102000</v>
      </c>
      <c r="J17" s="22">
        <f>-SUMIFS(Donnees!$I$6:$I$1000000,Donnees!$K$6:$K$1000000,"08",Donnees!$G$6:$G$1000000,"FAE")+SUMIFS(Donnees!$J$6:$J$1000000,Donnees!$K$6:$K$1000000,"08",Donnees!$G$6:$G$1000000,"FAE")</f>
        <v>0</v>
      </c>
      <c r="K17" s="22">
        <f>-SUMIFS(Donnees!$I$6:$I$1000000,Donnees!$K$6:$K$1000000,"09",Donnees!$G$6:$G$1000000,"FAE")+SUMIFS(Donnees!$J$6:$J$1000000,Donnees!$K$6:$K$1000000,"09",Donnees!$G$6:$G$1000000,"FAE")</f>
        <v>0</v>
      </c>
      <c r="L17" s="22">
        <f>-SUMIFS(Donnees!$I$6:$I$1000000,Donnees!$K$6:$K$1000000,"10",Donnees!$G$6:$G$1000000,"FAE")+SUMIFS(Donnees!$J$6:$J$1000000,Donnees!$K$6:$K$1000000,"10",Donnees!$G$6:$G$1000000,"FAE")</f>
        <v>0</v>
      </c>
      <c r="M17" s="22">
        <f>-SUMIFS(Donnees!$I$6:$I$1000000,Donnees!$K$6:$K$1000000,"11",Donnees!$G$6:$G$1000000,"FAE")+SUMIFS(Donnees!$J$6:$J$1000000,Donnees!$K$6:$K$1000000,"11",Donnees!$G$6:$G$1000000,"FAE")</f>
        <v>0</v>
      </c>
      <c r="N17" s="22">
        <f>-SUMIFS(Donnees!$I$6:$I$1000000,Donnees!$K$6:$K$1000000,"12",Donnees!$G$6:$G$1000000,"FAE")+SUMIFS(Donnees!$J$6:$J$1000000,Donnees!$K$6:$K$1000000,"12",Donnees!$G$6:$G$1000000,"FAE")</f>
        <v>0</v>
      </c>
      <c r="O17" s="23">
        <f t="shared" si="2"/>
        <v>876000</v>
      </c>
    </row>
    <row r="18" spans="2:15" ht="15" customHeight="1" x14ac:dyDescent="0.25">
      <c r="B18" s="41" t="s">
        <v>55</v>
      </c>
      <c r="C18" s="21">
        <f>-SUMIFS(Donnees!$I$6:$I$1000000,Donnees!$K$6:$K$1000000,"01",Donnees!$G$6:$G$1000000,"FAA")+SUMIFS(Donnees!$J$6:$J$1000000,Donnees!$K$6:$K$1000000,"01",Donnees!$G$6:$G$1000000,"FAA")</f>
        <v>192000</v>
      </c>
      <c r="D18" s="22">
        <f>-SUMIFS(Donnees!$I$6:$I$1000000,Donnees!$K$6:$K$1000000,"02",Donnees!$G$6:$G$1000000,"FAA")+SUMIFS(Donnees!$J$6:$J$1000000,Donnees!$K$6:$K$1000000,"02",Donnees!$G$6:$G$1000000,"FAA")</f>
        <v>0</v>
      </c>
      <c r="E18" s="22">
        <f>-SUMIFS(Donnees!$I$6:$I$1000000,Donnees!$K$6:$K$1000000,"03",Donnees!$G$6:$G$1000000,"FAA")+SUMIFS(Donnees!$J$6:$J$1000000,Donnees!$K$6:$K$1000000,"03",Donnees!$G$6:$G$1000000,"FAA")</f>
        <v>0</v>
      </c>
      <c r="F18" s="22">
        <f>-SUMIFS(Donnees!$I$6:$I$1000000,Donnees!$K$6:$K$1000000,"04",Donnees!$G$6:$G$1000000,"FAA")+SUMIFS(Donnees!$J$6:$J$1000000,Donnees!$K$6:$K$1000000,"04",Donnees!$G$6:$G$1000000,"FAA")</f>
        <v>302000</v>
      </c>
      <c r="G18" s="22">
        <f>-SUMIFS(Donnees!$I$6:$I$1000000,Donnees!$K$6:$K$1000000,"05",Donnees!$G$6:$G$1000000,"FAA")+SUMIFS(Donnees!$J$6:$J$1000000,Donnees!$K$6:$K$1000000,"05",Donnees!$G$6:$G$1000000,"FAA")</f>
        <v>0</v>
      </c>
      <c r="H18" s="22">
        <f>-SUMIFS(Donnees!$I$6:$I$1000000,Donnees!$K$6:$K$1000000,"06",Donnees!$G$6:$G$1000000,"FAA")+SUMIFS(Donnees!$J$6:$J$1000000,Donnees!$K$6:$K$1000000,"06",Donnees!$G$6:$G$1000000,"FAA")</f>
        <v>0</v>
      </c>
      <c r="I18" s="22">
        <f>-SUMIFS(Donnees!$I$6:$I$1000000,Donnees!$K$6:$K$1000000,"07",Donnees!$G$6:$G$1000000,"FAA")+SUMIFS(Donnees!$J$6:$J$1000000,Donnees!$K$6:$K$1000000,"07",Donnees!$G$6:$G$1000000,"FAA")</f>
        <v>512000</v>
      </c>
      <c r="J18" s="22">
        <f>-SUMIFS(Donnees!$I$6:$I$1000000,Donnees!$K$6:$K$1000000,"08",Donnees!$G$6:$G$1000000,"FAA")+SUMIFS(Donnees!$J$6:$J$1000000,Donnees!$K$6:$K$1000000,"08",Donnees!$G$6:$G$1000000,"FAA")</f>
        <v>0</v>
      </c>
      <c r="K18" s="22">
        <f>-SUMIFS(Donnees!$I$6:$I$1000000,Donnees!$K$6:$K$1000000,"09",Donnees!$G$6:$G$1000000,"FAA")+SUMIFS(Donnees!$J$6:$J$1000000,Donnees!$K$6:$K$1000000,"09",Donnees!$G$6:$G$1000000,"FAA")</f>
        <v>0</v>
      </c>
      <c r="L18" s="22">
        <f>-SUMIFS(Donnees!$I$6:$I$1000000,Donnees!$K$6:$K$1000000,"10",Donnees!$G$6:$G$1000000,"FAA")+SUMIFS(Donnees!$J$6:$J$1000000,Donnees!$K$6:$K$1000000,"10",Donnees!$G$6:$G$1000000,"FAA")</f>
        <v>0</v>
      </c>
      <c r="M18" s="22">
        <f>-SUMIFS(Donnees!$I$6:$I$1000000,Donnees!$K$6:$K$1000000,"11",Donnees!$G$6:$G$1000000,"FAA")+SUMIFS(Donnees!$J$6:$J$1000000,Donnees!$K$6:$K$1000000,"11",Donnees!$G$6:$G$1000000,"FAA")</f>
        <v>0</v>
      </c>
      <c r="N18" s="22">
        <f>-SUMIFS(Donnees!$I$6:$I$1000000,Donnees!$K$6:$K$1000000,"12",Donnees!$G$6:$G$1000000,"FAA")+SUMIFS(Donnees!$J$6:$J$1000000,Donnees!$K$6:$K$1000000,"12",Donnees!$G$6:$G$1000000,"FAA")</f>
        <v>0</v>
      </c>
      <c r="O18" s="23">
        <f t="shared" si="2"/>
        <v>1006000</v>
      </c>
    </row>
    <row r="19" spans="2:15" ht="15" customHeight="1" thickBot="1" x14ac:dyDescent="0.3">
      <c r="B19" s="41" t="s">
        <v>52</v>
      </c>
      <c r="C19" s="21">
        <f>-SUMIFS(Donnees!$I$6:$I$1000000,Donnees!$K$6:$K$1000000,"01",Donnees!$G$6:$G$1000000,"AUR")+SUMIFS(Donnees!$J$6:$J$1000000,Donnees!$K$6:$K$1000000,"01",Donnees!$G$6:$G$1000000,"AUR")</f>
        <v>336000</v>
      </c>
      <c r="D19" s="22">
        <f>-SUMIFS(Donnees!$I$6:$I$1000000,Donnees!$K$6:$K$1000000,"02",Donnees!$G$6:$G$1000000,"AUR")+SUMIFS(Donnees!$J$6:$J$1000000,Donnees!$K$6:$K$1000000,"02",Donnees!$G$6:$G$1000000,"AUR")</f>
        <v>0</v>
      </c>
      <c r="E19" s="22">
        <f>-SUMIFS(Donnees!$I$6:$I$1000000,Donnees!$K$6:$K$1000000,"03",Donnees!$G$6:$G$1000000,"AUR")+SUMIFS(Donnees!$J$6:$J$1000000,Donnees!$K$6:$K$1000000,"03",Donnees!$G$6:$G$1000000,"AUR")</f>
        <v>336000</v>
      </c>
      <c r="F19" s="22">
        <f>-SUMIFS(Donnees!$I$6:$I$1000000,Donnees!$K$6:$K$1000000,"04",Donnees!$G$6:$G$1000000,"AUR")+SUMIFS(Donnees!$J$6:$J$1000000,Donnees!$K$6:$K$1000000,"04",Donnees!$G$6:$G$1000000,"AUR")</f>
        <v>0</v>
      </c>
      <c r="G19" s="22">
        <f>-SUMIFS(Donnees!$I$6:$I$1000000,Donnees!$K$6:$K$1000000,"05",Donnees!$G$6:$G$1000000,"AUR")+SUMIFS(Donnees!$J$6:$J$1000000,Donnees!$K$6:$K$1000000,"05",Donnees!$G$6:$G$1000000,"AUR")</f>
        <v>0</v>
      </c>
      <c r="H19" s="22">
        <f>-SUMIFS(Donnees!$I$6:$I$1000000,Donnees!$K$6:$K$1000000,"06",Donnees!$G$6:$G$1000000,"AUR")+SUMIFS(Donnees!$J$6:$J$1000000,Donnees!$K$6:$K$1000000,"06",Donnees!$G$6:$G$1000000,"AUR")</f>
        <v>206000</v>
      </c>
      <c r="I19" s="22">
        <f>-SUMIFS(Donnees!$I$6:$I$1000000,Donnees!$K$6:$K$1000000,"07",Donnees!$G$6:$G$1000000,"AUR")+SUMIFS(Donnees!$J$6:$J$1000000,Donnees!$K$6:$K$1000000,"07",Donnees!$G$6:$G$1000000,"AUR")</f>
        <v>0</v>
      </c>
      <c r="J19" s="22">
        <f>-SUMIFS(Donnees!$I$6:$I$1000000,Donnees!$K$6:$K$1000000,"08",Donnees!$G$6:$G$1000000,"AUR")+SUMIFS(Donnees!$J$6:$J$1000000,Donnees!$K$6:$K$1000000,"08",Donnees!$G$6:$G$1000000,"AUR")</f>
        <v>0</v>
      </c>
      <c r="K19" s="22">
        <f>-SUMIFS(Donnees!$I$6:$I$1000000,Donnees!$K$6:$K$1000000,"09",Donnees!$G$6:$G$1000000,"AUR")+SUMIFS(Donnees!$J$6:$J$1000000,Donnees!$K$6:$K$1000000,"09",Donnees!$G$6:$G$1000000,"AUR")</f>
        <v>146000</v>
      </c>
      <c r="L19" s="22">
        <f>-SUMIFS(Donnees!$I$6:$I$1000000,Donnees!$K$6:$K$1000000,"10",Donnees!$G$6:$G$1000000,"AUR")+SUMIFS(Donnees!$J$6:$J$1000000,Donnees!$K$6:$K$1000000,"10",Donnees!$G$6:$G$1000000,"AUR")</f>
        <v>0</v>
      </c>
      <c r="M19" s="22">
        <f>-SUMIFS(Donnees!$I$6:$I$1000000,Donnees!$K$6:$K$1000000,"11",Donnees!$G$6:$G$1000000,"AUR")+SUMIFS(Donnees!$J$6:$J$1000000,Donnees!$K$6:$K$1000000,"11",Donnees!$G$6:$G$1000000,"AUR")</f>
        <v>1200000</v>
      </c>
      <c r="N19" s="22">
        <f>-SUMIFS(Donnees!$I$6:$I$1000000,Donnees!$K$6:$K$1000000,"12",Donnees!$G$6:$G$1000000,"AUR")+SUMIFS(Donnees!$J$6:$J$1000000,Donnees!$K$6:$K$1000000,"12",Donnees!$G$6:$G$1000000,"AUR")</f>
        <v>0</v>
      </c>
      <c r="O19" s="23">
        <f t="shared" si="2"/>
        <v>2224000</v>
      </c>
    </row>
    <row r="20" spans="2:15" ht="15" customHeight="1" thickBot="1" x14ac:dyDescent="0.3">
      <c r="B20" s="17" t="s">
        <v>67</v>
      </c>
      <c r="C20" s="18">
        <f>SUM(C21:C23)</f>
        <v>0</v>
      </c>
      <c r="D20" s="18">
        <f t="shared" ref="D20:N20" si="4">SUM(D21:D23)</f>
        <v>0</v>
      </c>
      <c r="E20" s="18">
        <f t="shared" si="4"/>
        <v>5000</v>
      </c>
      <c r="F20" s="18">
        <f t="shared" si="4"/>
        <v>0</v>
      </c>
      <c r="G20" s="18">
        <f t="shared" si="4"/>
        <v>0</v>
      </c>
      <c r="H20" s="18">
        <f t="shared" si="4"/>
        <v>0</v>
      </c>
      <c r="I20" s="18">
        <f t="shared" si="4"/>
        <v>0</v>
      </c>
      <c r="J20" s="18">
        <f t="shared" si="4"/>
        <v>7000</v>
      </c>
      <c r="K20" s="18">
        <f t="shared" si="4"/>
        <v>22000</v>
      </c>
      <c r="L20" s="18">
        <f t="shared" si="4"/>
        <v>18000</v>
      </c>
      <c r="M20" s="18">
        <f t="shared" si="4"/>
        <v>0</v>
      </c>
      <c r="N20" s="18">
        <f t="shared" si="4"/>
        <v>0</v>
      </c>
      <c r="O20" s="24">
        <f>SUM(O21:O23)</f>
        <v>52000</v>
      </c>
    </row>
    <row r="21" spans="2:15" ht="15" customHeight="1" x14ac:dyDescent="0.25">
      <c r="B21" s="41" t="s">
        <v>62</v>
      </c>
      <c r="C21" s="21">
        <f>-SUMIFS(Donnees!$I$6:$I$1000000,Donnees!$K$6:$K$1000000,"01",Donnees!$F$6:$F$1000000,"FISKE")+SUMIFS(Donnees!$J$6:$J$1000000,Donnees!$K$6:$K$1000000,"01",Donnees!$F$6:$F$1000000,"FISKE")
-SUMIFS(Donnees!$I$6:$I$1000000,Donnees!$K$6:$K$1000000,"01",Donnees!$F$6:$F$1000000,"TVAE")+SUMIFS(Donnees!$J$6:$J$1000000,Donnees!$K$6:$K$1000000,"01",Donnees!$F$6:$F$1000000,"TVAE")</f>
        <v>0</v>
      </c>
      <c r="D21" s="21">
        <f>-SUMIFS(Donnees!$I$6:$I$1000000,Donnees!$K$6:$K$1000000,"02",Donnees!$F$6:$F$1000000,"FISKE")+SUMIFS(Donnees!$J$6:$J$1000000,Donnees!$K$6:$K$1000000,"02",Donnees!$F$6:$F$1000000,"FISKE")
-SUMIFS(Donnees!$I$6:$I$1000000,Donnees!$K$6:$K$1000000,"02",Donnees!$F$6:$F$1000000,"TVAE")+SUMIFS(Donnees!$J$6:$J$1000000,Donnees!$K$6:$K$1000000,"02",Donnees!$F$6:$F$1000000,"TVAE")</f>
        <v>0</v>
      </c>
      <c r="E21" s="21">
        <f>-SUMIFS(Donnees!$I$6:$I$1000000,Donnees!$K$6:$K$1000000,"03",Donnees!$F$6:$F$1000000,"FISKE")+SUMIFS(Donnees!$J$6:$J$1000000,Donnees!$K$6:$K$1000000,"03",Donnees!$F$6:$F$1000000,"FISKE")
-SUMIFS(Donnees!$I$6:$I$1000000,Donnees!$K$6:$K$1000000,"03",Donnees!$F$6:$F$1000000,"TVAE")+SUMIFS(Donnees!$J$6:$J$1000000,Donnees!$K$6:$K$1000000,"03",Donnees!$F$6:$F$1000000,"TVAE")</f>
        <v>5000</v>
      </c>
      <c r="F21" s="21">
        <f>-SUMIFS(Donnees!$I$6:$I$1000000,Donnees!$K$6:$K$1000000,"04",Donnees!$F$6:$F$1000000,"FISKE")+SUMIFS(Donnees!$J$6:$J$1000000,Donnees!$K$6:$K$1000000,"04",Donnees!$F$6:$F$1000000,"FISKE")
-SUMIFS(Donnees!$I$6:$I$1000000,Donnees!$K$6:$K$1000000,"04",Donnees!$F$6:$F$1000000,"TVAE")+SUMIFS(Donnees!$J$6:$J$1000000,Donnees!$K$6:$K$1000000,"04",Donnees!$F$6:$F$1000000,"TVAE")</f>
        <v>0</v>
      </c>
      <c r="G21" s="21">
        <f>-SUMIFS(Donnees!$I$6:$I$1000000,Donnees!$K$6:$K$1000000,"05",Donnees!$F$6:$F$1000000,"FISKE")+SUMIFS(Donnees!$J$6:$J$1000000,Donnees!$K$6:$K$1000000,"05",Donnees!$F$6:$F$1000000,"FISKE")
-SUMIFS(Donnees!$I$6:$I$1000000,Donnees!$K$6:$K$1000000,"05",Donnees!$F$6:$F$1000000,"TVAE")+SUMIFS(Donnees!$J$6:$J$1000000,Donnees!$K$6:$K$1000000,"05",Donnees!$F$6:$F$1000000,"TVAE")</f>
        <v>0</v>
      </c>
      <c r="H21" s="21">
        <f>-SUMIFS(Donnees!$I$6:$I$1000000,Donnees!$K$6:$K$1000000,"06",Donnees!$F$6:$F$1000000,"FISKE")+SUMIFS(Donnees!$J$6:$J$1000000,Donnees!$K$6:$K$1000000,"06",Donnees!$F$6:$F$1000000,"FISKE")
-SUMIFS(Donnees!$I$6:$I$1000000,Donnees!$K$6:$K$1000000,"06",Donnees!$F$6:$F$1000000,"TVAE")+SUMIFS(Donnees!$J$6:$J$1000000,Donnees!$K$6:$K$1000000,"06",Donnees!$F$6:$F$1000000,"TVAE")</f>
        <v>0</v>
      </c>
      <c r="I21" s="21">
        <f>-SUMIFS(Donnees!$I$6:$I$1000000,Donnees!$K$6:$K$1000000,"07",Donnees!$F$6:$F$1000000,"FISKE")+SUMIFS(Donnees!$J$6:$J$1000000,Donnees!$K$6:$K$1000000,"07",Donnees!$F$6:$F$1000000,"FISKE")
-SUMIFS(Donnees!$I$6:$I$1000000,Donnees!$K$6:$K$1000000,"07",Donnees!$F$6:$F$1000000,"TVAE")+SUMIFS(Donnees!$J$6:$J$1000000,Donnees!$K$6:$K$1000000,"07",Donnees!$F$6:$F$1000000,"TVAE")</f>
        <v>0</v>
      </c>
      <c r="J21" s="21">
        <f>-SUMIFS(Donnees!$I$6:$I$1000000,Donnees!$K$6:$K$1000000,"08",Donnees!$F$6:$F$1000000,"FISKE")+SUMIFS(Donnees!$J$6:$J$1000000,Donnees!$K$6:$K$1000000,"08",Donnees!$F$6:$F$1000000,"FISKE")
-SUMIFS(Donnees!$I$6:$I$1000000,Donnees!$K$6:$K$1000000,"08",Donnees!$F$6:$F$1000000,"TVAE")+SUMIFS(Donnees!$J$6:$J$1000000,Donnees!$K$6:$K$1000000,"08",Donnees!$F$6:$F$1000000,"TVAE")</f>
        <v>7000</v>
      </c>
      <c r="K21" s="21">
        <f>-SUMIFS(Donnees!$I$6:$I$1000000,Donnees!$K$6:$K$1000000,"09",Donnees!$F$6:$F$1000000,"FISKE")+SUMIFS(Donnees!$J$6:$J$1000000,Donnees!$K$6:$K$1000000,"09",Donnees!$F$6:$F$1000000,"FISKE")
-SUMIFS(Donnees!$I$6:$I$1000000,Donnees!$K$6:$K$1000000,"09",Donnees!$F$6:$F$1000000,"TVAE")+SUMIFS(Donnees!$J$6:$J$1000000,Donnees!$K$6:$K$1000000,"09",Donnees!$F$6:$F$1000000,"TVAE")</f>
        <v>0</v>
      </c>
      <c r="L21" s="21">
        <f>-SUMIFS(Donnees!$I$6:$I$1000000,Donnees!$K$6:$K$1000000,"10",Donnees!$F$6:$F$1000000,"FISKE")+SUMIFS(Donnees!$J$6:$J$1000000,Donnees!$K$6:$K$1000000,"10",Donnees!$F$6:$F$1000000,"FISKE")
-SUMIFS(Donnees!$I$6:$I$1000000,Donnees!$K$6:$K$1000000,"10",Donnees!$F$6:$F$1000000,"TVAE")+SUMIFS(Donnees!$J$6:$J$1000000,Donnees!$K$6:$K$1000000,"10",Donnees!$F$6:$F$1000000,"TVAE")</f>
        <v>0</v>
      </c>
      <c r="M21" s="21">
        <f>-SUMIFS(Donnees!$I$6:$I$1000000,Donnees!$K$6:$K$1000000,"11",Donnees!$F$6:$F$1000000,"FISKE")+SUMIFS(Donnees!$J$6:$J$1000000,Donnees!$K$6:$K$1000000,"11",Donnees!$F$6:$F$1000000,"FISKE")
-SUMIFS(Donnees!$I$6:$I$1000000,Donnees!$K$6:$K$1000000,"11",Donnees!$F$6:$F$1000000,"TVAE")+SUMIFS(Donnees!$J$6:$J$1000000,Donnees!$K$6:$K$1000000,"11",Donnees!$F$6:$F$1000000,"TVAE")</f>
        <v>0</v>
      </c>
      <c r="N21" s="21">
        <f>-SUMIFS(Donnees!$I$6:$I$1000000,Donnees!$K$6:$K$1000000,"12",Donnees!$F$6:$F$1000000,"FISKE")+SUMIFS(Donnees!$J$6:$J$1000000,Donnees!$K$6:$K$1000000,"12",Donnees!$F$6:$F$1000000,"FISKE")
-SUMIFS(Donnees!$I$6:$I$1000000,Donnees!$K$6:$K$1000000,"12",Donnees!$F$6:$F$1000000,"TVAE")+SUMIFS(Donnees!$J$6:$J$1000000,Donnees!$K$6:$K$1000000,"12",Donnees!$F$6:$F$1000000,"TVAE")</f>
        <v>0</v>
      </c>
      <c r="O21" s="23">
        <f t="shared" ref="O21:O24" si="5">SUM(C21:N21)</f>
        <v>12000</v>
      </c>
    </row>
    <row r="22" spans="2:15" ht="15" customHeight="1" x14ac:dyDescent="0.25">
      <c r="B22" s="41" t="s">
        <v>63</v>
      </c>
      <c r="C22" s="21">
        <f>-SUMIFS(Donnees!$I$6:$I$1000000,Donnees!$K$6:$K$1000000,"01",Donnees!$F$6:$F$1000000,"OTE")+SUMIFS(Donnees!$J$6:$J$1000000,Donnees!$K$6:$K$1000000,"01",Donnees!$F$6:$F$1000000,"OTE")</f>
        <v>0</v>
      </c>
      <c r="D22" s="21">
        <f>-SUMIFS(Donnees!$I$6:$I$1000000,Donnees!$K$6:$K$1000000,"02",Donnees!$F$6:$F$1000000,"OTE")+SUMIFS(Donnees!$J$6:$J$1000000,Donnees!$K$6:$K$1000000,"02",Donnees!$F$6:$F$1000000,"OTE")</f>
        <v>0</v>
      </c>
      <c r="E22" s="21">
        <f>-SUMIFS(Donnees!$I$6:$I$1000000,Donnees!$K$6:$K$1000000,"03",Donnees!$F$6:$F$1000000,"OTE")+SUMIFS(Donnees!$J$6:$J$1000000,Donnees!$K$6:$K$1000000,"03",Donnees!$F$6:$F$1000000,"OTE")</f>
        <v>0</v>
      </c>
      <c r="F22" s="21">
        <f>-SUMIFS(Donnees!$I$6:$I$1000000,Donnees!$K$6:$K$1000000,"04",Donnees!$F$6:$F$1000000,"OTE")+SUMIFS(Donnees!$J$6:$J$1000000,Donnees!$K$6:$K$1000000,"04",Donnees!$F$6:$F$1000000,"OTE")</f>
        <v>0</v>
      </c>
      <c r="G22" s="21">
        <f>-SUMIFS(Donnees!$I$6:$I$1000000,Donnees!$K$6:$K$1000000,"05",Donnees!$F$6:$F$1000000,"OTE")+SUMIFS(Donnees!$J$6:$J$1000000,Donnees!$K$6:$K$1000000,"05",Donnees!$F$6:$F$1000000,"OTE")</f>
        <v>0</v>
      </c>
      <c r="H22" s="21">
        <f>-SUMIFS(Donnees!$I$6:$I$1000000,Donnees!$K$6:$K$1000000,"06",Donnees!$F$6:$F$1000000,"OTE")+SUMIFS(Donnees!$J$6:$J$1000000,Donnees!$K$6:$K$1000000,"06",Donnees!$F$6:$F$1000000,"OTE")</f>
        <v>0</v>
      </c>
      <c r="I22" s="21">
        <f>-SUMIFS(Donnees!$I$6:$I$1000000,Donnees!$K$6:$K$1000000,"07",Donnees!$F$6:$F$1000000,"OTE")+SUMIFS(Donnees!$J$6:$J$1000000,Donnees!$K$6:$K$1000000,"07",Donnees!$F$6:$F$1000000,"OTE")</f>
        <v>0</v>
      </c>
      <c r="J22" s="21">
        <f>-SUMIFS(Donnees!$I$6:$I$1000000,Donnees!$K$6:$K$1000000,"08",Donnees!$F$6:$F$1000000,"OTE")+SUMIFS(Donnees!$J$6:$J$1000000,Donnees!$K$6:$K$1000000,"08",Donnees!$F$6:$F$1000000,"OTE")</f>
        <v>0</v>
      </c>
      <c r="K22" s="21">
        <f>-SUMIFS(Donnees!$I$6:$I$1000000,Donnees!$K$6:$K$1000000,"09",Donnees!$F$6:$F$1000000,"OTE")+SUMIFS(Donnees!$J$6:$J$1000000,Donnees!$K$6:$K$1000000,"09",Donnees!$F$6:$F$1000000,"OTE")</f>
        <v>20000</v>
      </c>
      <c r="L22" s="21">
        <f>-SUMIFS(Donnees!$I$6:$I$1000000,Donnees!$K$6:$K$1000000,"10",Donnees!$F$6:$F$1000000,"OTE")+SUMIFS(Donnees!$J$6:$J$1000000,Donnees!$K$6:$K$1000000,"10",Donnees!$F$6:$F$1000000,"OTE")</f>
        <v>18000</v>
      </c>
      <c r="M22" s="21">
        <f>-SUMIFS(Donnees!$I$6:$I$1000000,Donnees!$K$6:$K$1000000,"11",Donnees!$F$6:$F$1000000,"OTE")+SUMIFS(Donnees!$J$6:$J$1000000,Donnees!$K$6:$K$1000000,"11",Donnees!$F$6:$F$1000000,"OTE")</f>
        <v>0</v>
      </c>
      <c r="N22" s="21">
        <f>-SUMIFS(Donnees!$I$6:$I$1000000,Donnees!$K$6:$K$1000000,"12",Donnees!$F$6:$F$1000000,"OTE")+SUMIFS(Donnees!$J$6:$J$1000000,Donnees!$K$6:$K$1000000,"12",Donnees!$F$6:$F$1000000,"OTE")</f>
        <v>0</v>
      </c>
      <c r="O22" s="23">
        <f t="shared" si="5"/>
        <v>38000</v>
      </c>
    </row>
    <row r="23" spans="2:15" ht="15" customHeight="1" thickBot="1" x14ac:dyDescent="0.3">
      <c r="B23" s="41" t="s">
        <v>68</v>
      </c>
      <c r="C23" s="21">
        <f>-SUMIFS(Donnees!$I$6:$I$1000000,Donnees!$K$6:$K$1000000,"01",Donnees!$F$6:$F$1000000,"ATE")+SUMIFS(Donnees!$J$6:$J$1000000,Donnees!$K$6:$K$1000000,"01",Donnees!$F$6:$F$1000000,"ATE")</f>
        <v>0</v>
      </c>
      <c r="D23" s="21">
        <f>-SUMIFS(Donnees!$I$6:$I$1000000,Donnees!$K$6:$K$1000000,"02",Donnees!$F$6:$F$1000000,"ATE")+SUMIFS(Donnees!$J$6:$J$1000000,Donnees!$K$6:$K$1000000,"02",Donnees!$F$6:$F$1000000,"ATE")</f>
        <v>0</v>
      </c>
      <c r="E23" s="21">
        <f>-SUMIFS(Donnees!$I$6:$I$1000000,Donnees!$K$6:$K$1000000,"03",Donnees!$F$6:$F$1000000,"ATE")+SUMIFS(Donnees!$J$6:$J$1000000,Donnees!$K$6:$K$1000000,"03",Donnees!$F$6:$F$1000000,"ATE")</f>
        <v>0</v>
      </c>
      <c r="F23" s="21">
        <f>-SUMIFS(Donnees!$I$6:$I$1000000,Donnees!$K$6:$K$1000000,"04",Donnees!$F$6:$F$1000000,"ATE")+SUMIFS(Donnees!$J$6:$J$1000000,Donnees!$K$6:$K$1000000,"04",Donnees!$F$6:$F$1000000,"ATE")</f>
        <v>0</v>
      </c>
      <c r="G23" s="21">
        <f>-SUMIFS(Donnees!$I$6:$I$1000000,Donnees!$K$6:$K$1000000,"05",Donnees!$F$6:$F$1000000,"ATE")+SUMIFS(Donnees!$J$6:$J$1000000,Donnees!$K$6:$K$1000000,"05",Donnees!$F$6:$F$1000000,"ATE")</f>
        <v>0</v>
      </c>
      <c r="H23" s="21">
        <f>-SUMIFS(Donnees!$I$6:$I$1000000,Donnees!$K$6:$K$1000000,"06",Donnees!$F$6:$F$1000000,"ATE")+SUMIFS(Donnees!$J$6:$J$1000000,Donnees!$K$6:$K$1000000,"06",Donnees!$F$6:$F$1000000,"ATE")</f>
        <v>0</v>
      </c>
      <c r="I23" s="21">
        <f>-SUMIFS(Donnees!$I$6:$I$1000000,Donnees!$K$6:$K$1000000,"07",Donnees!$F$6:$F$1000000,"ATE")+SUMIFS(Donnees!$J$6:$J$1000000,Donnees!$K$6:$K$1000000,"07",Donnees!$F$6:$F$1000000,"ATE")</f>
        <v>0</v>
      </c>
      <c r="J23" s="21">
        <f>-SUMIFS(Donnees!$I$6:$I$1000000,Donnees!$K$6:$K$1000000,"08",Donnees!$F$6:$F$1000000,"ATE")+SUMIFS(Donnees!$J$6:$J$1000000,Donnees!$K$6:$K$1000000,"08",Donnees!$F$6:$F$1000000,"ATE")</f>
        <v>0</v>
      </c>
      <c r="K23" s="21">
        <f>-SUMIFS(Donnees!$I$6:$I$1000000,Donnees!$K$6:$K$1000000,"09",Donnees!$F$6:$F$1000000,"ATE")+SUMIFS(Donnees!$J$6:$J$1000000,Donnees!$K$6:$K$1000000,"09",Donnees!$F$6:$F$1000000,"ATE")</f>
        <v>2000</v>
      </c>
      <c r="L23" s="21">
        <f>-SUMIFS(Donnees!$I$6:$I$1000000,Donnees!$K$6:$K$1000000,"10",Donnees!$F$6:$F$1000000,"ATE")+SUMIFS(Donnees!$J$6:$J$1000000,Donnees!$K$6:$K$1000000,"10",Donnees!$F$6:$F$1000000,"ATE")</f>
        <v>0</v>
      </c>
      <c r="M23" s="21">
        <f>-SUMIFS(Donnees!$I$6:$I$1000000,Donnees!$K$6:$K$1000000,"11",Donnees!$F$6:$F$1000000,"ATE")+SUMIFS(Donnees!$J$6:$J$1000000,Donnees!$K$6:$K$1000000,"11",Donnees!$F$6:$F$1000000,"ATE")</f>
        <v>0</v>
      </c>
      <c r="N23" s="21">
        <f>-SUMIFS(Donnees!$I$6:$I$1000000,Donnees!$K$6:$K$1000000,"12",Donnees!$F$6:$F$1000000,"ATE")+SUMIFS(Donnees!$J$6:$J$1000000,Donnees!$K$6:$K$1000000,"12",Donnees!$F$6:$F$1000000,"ATE")</f>
        <v>0</v>
      </c>
      <c r="O23" s="23">
        <f t="shared" ref="O23" si="6">SUM(C23:N23)</f>
        <v>2000</v>
      </c>
    </row>
    <row r="24" spans="2:15" ht="15" customHeight="1" thickBot="1" x14ac:dyDescent="0.3">
      <c r="B24" s="17" t="s">
        <v>64</v>
      </c>
      <c r="C24" s="18">
        <f>-SUMIFS(Donnees!$I$6:$I$1000000,Donnees!$K$6:$K$1000000,"01",Donnees!$F$6:$F$1000000,"CTE")+SUMIFS(Donnees!$J$6:$J$1000000,Donnees!$K$6:$K$1000000,"01",Donnees!$F$6:$F$1000000,"CTE")
-SUMIFS(Donnees!$I$6:$I$1000000,Donnees!$K$6:$K$1000000,"01",Donnees!$F$6:$F$1000000,"ENCNR")+SUMIFS(Donnees!$J$6:$J$1000000,Donnees!$K$6:$K$1000000,"01",Donnees!$F$6:$F$1000000,"ENCNR")</f>
        <v>0</v>
      </c>
      <c r="D24" s="18">
        <f>-SUMIFS(Donnees!$I$6:$I$1000000,Donnees!$K$6:$K$1000000,"02",Donnees!$F$6:$F$1000000,"CTE")+SUMIFS(Donnees!$J$6:$J$1000000,Donnees!$K$6:$K$1000000,"02",Donnees!$F$6:$F$1000000,"CTE")
-SUMIFS(Donnees!$I$6:$I$1000000,Donnees!$K$6:$K$1000000,"02",Donnees!$F$6:$F$1000000,"ENCNR")+SUMIFS(Donnees!$J$6:$J$1000000,Donnees!$K$6:$K$1000000,"02",Donnees!$F$6:$F$1000000,"ENCNR")</f>
        <v>0</v>
      </c>
      <c r="E24" s="18">
        <f>-SUMIFS(Donnees!$I$6:$I$1000000,Donnees!$K$6:$K$1000000,"03",Donnees!$F$6:$F$1000000,"CTE")+SUMIFS(Donnees!$J$6:$J$1000000,Donnees!$K$6:$K$1000000,"03",Donnees!$F$6:$F$1000000,"CTE")
-SUMIFS(Donnees!$I$6:$I$1000000,Donnees!$K$6:$K$1000000,"03",Donnees!$F$6:$F$1000000,"ENCNR")+SUMIFS(Donnees!$J$6:$J$1000000,Donnees!$K$6:$K$1000000,"03",Donnees!$F$6:$F$1000000,"ENCNR")</f>
        <v>0</v>
      </c>
      <c r="F24" s="18">
        <f>-SUMIFS(Donnees!$I$6:$I$1000000,Donnees!$K$6:$K$1000000,"04",Donnees!$F$6:$F$1000000,"CTE")+SUMIFS(Donnees!$J$6:$J$1000000,Donnees!$K$6:$K$1000000,"04",Donnees!$F$6:$F$1000000,"CTE")
-SUMIFS(Donnees!$I$6:$I$1000000,Donnees!$K$6:$K$1000000,"04",Donnees!$F$6:$F$1000000,"ENCNR")+SUMIFS(Donnees!$J$6:$J$1000000,Donnees!$K$6:$K$1000000,"04",Donnees!$F$6:$F$1000000,"ENCNR")</f>
        <v>0</v>
      </c>
      <c r="G24" s="18">
        <f>-SUMIFS(Donnees!$I$6:$I$1000000,Donnees!$K$6:$K$1000000,"05",Donnees!$F$6:$F$1000000,"CTE")+SUMIFS(Donnees!$J$6:$J$1000000,Donnees!$K$6:$K$1000000,"05",Donnees!$F$6:$F$1000000,"CTE")
-SUMIFS(Donnees!$I$6:$I$1000000,Donnees!$K$6:$K$1000000,"05",Donnees!$F$6:$F$1000000,"ENCNR")+SUMIFS(Donnees!$J$6:$J$1000000,Donnees!$K$6:$K$1000000,"05",Donnees!$F$6:$F$1000000,"ENCNR")</f>
        <v>0</v>
      </c>
      <c r="H24" s="18">
        <f>-SUMIFS(Donnees!$I$6:$I$1000000,Donnees!$K$6:$K$1000000,"06",Donnees!$F$6:$F$1000000,"CTE")+SUMIFS(Donnees!$J$6:$J$1000000,Donnees!$K$6:$K$1000000,"06",Donnees!$F$6:$F$1000000,"CTE")
-SUMIFS(Donnees!$I$6:$I$1000000,Donnees!$K$6:$K$1000000,"06",Donnees!$F$6:$F$1000000,"ENCNR")+SUMIFS(Donnees!$J$6:$J$1000000,Donnees!$K$6:$K$1000000,"06",Donnees!$F$6:$F$1000000,"ENCNR")</f>
        <v>3000</v>
      </c>
      <c r="I24" s="18">
        <f>-SUMIFS(Donnees!$I$6:$I$1000000,Donnees!$K$6:$K$1000000,"07",Donnees!$F$6:$F$1000000,"CTE")+SUMIFS(Donnees!$J$6:$J$1000000,Donnees!$K$6:$K$1000000,"07",Donnees!$F$6:$F$1000000,"CTE")
-SUMIFS(Donnees!$I$6:$I$1000000,Donnees!$K$6:$K$1000000,"07",Donnees!$F$6:$F$1000000,"ENCNR")+SUMIFS(Donnees!$J$6:$J$1000000,Donnees!$K$6:$K$1000000,"07",Donnees!$F$6:$F$1000000,"ENCNR")</f>
        <v>0</v>
      </c>
      <c r="J24" s="18">
        <f>-SUMIFS(Donnees!$I$6:$I$1000000,Donnees!$K$6:$K$1000000,"08",Donnees!$F$6:$F$1000000,"CTE")+SUMIFS(Donnees!$J$6:$J$1000000,Donnees!$K$6:$K$1000000,"08",Donnees!$F$6:$F$1000000,"CTE")
-SUMIFS(Donnees!$I$6:$I$1000000,Donnees!$K$6:$K$1000000,"08",Donnees!$F$6:$F$1000000,"ENCNR")+SUMIFS(Donnees!$J$6:$J$1000000,Donnees!$K$6:$K$1000000,"08",Donnees!$F$6:$F$1000000,"ENCNR")</f>
        <v>0</v>
      </c>
      <c r="K24" s="18">
        <f>-SUMIFS(Donnees!$I$6:$I$1000000,Donnees!$K$6:$K$1000000,"09",Donnees!$F$6:$F$1000000,"CTE")+SUMIFS(Donnees!$J$6:$J$1000000,Donnees!$K$6:$K$1000000,"09",Donnees!$F$6:$F$1000000,"CTE")
-SUMIFS(Donnees!$I$6:$I$1000000,Donnees!$K$6:$K$1000000,"09",Donnees!$F$6:$F$1000000,"ENCNR")+SUMIFS(Donnees!$J$6:$J$1000000,Donnees!$K$6:$K$1000000,"09",Donnees!$F$6:$F$1000000,"ENCNR")</f>
        <v>14000</v>
      </c>
      <c r="L24" s="18">
        <f>-SUMIFS(Donnees!$I$6:$I$1000000,Donnees!$K$6:$K$1000000,"10",Donnees!$F$6:$F$1000000,"CTE")+SUMIFS(Donnees!$J$6:$J$1000000,Donnees!$K$6:$K$1000000,"10",Donnees!$F$6:$F$1000000,"CTE")
-SUMIFS(Donnees!$I$6:$I$1000000,Donnees!$K$6:$K$1000000,"10",Donnees!$F$6:$F$1000000,"ENCNR")+SUMIFS(Donnees!$J$6:$J$1000000,Donnees!$K$6:$K$1000000,"10",Donnees!$F$6:$F$1000000,"ENCNR")</f>
        <v>0</v>
      </c>
      <c r="M24" s="18">
        <f>-SUMIFS(Donnees!$I$6:$I$1000000,Donnees!$K$6:$K$1000000,"11",Donnees!$F$6:$F$1000000,"CTE")+SUMIFS(Donnees!$J$6:$J$1000000,Donnees!$K$6:$K$1000000,"11",Donnees!$F$6:$F$1000000,"CTE")
-SUMIFS(Donnees!$I$6:$I$1000000,Donnees!$K$6:$K$1000000,"11",Donnees!$F$6:$F$1000000,"ENCNR")+SUMIFS(Donnees!$J$6:$J$1000000,Donnees!$K$6:$K$1000000,"11",Donnees!$F$6:$F$1000000,"ENCNR")</f>
        <v>0</v>
      </c>
      <c r="N24" s="18">
        <f>-SUMIFS(Donnees!$I$6:$I$1000000,Donnees!$K$6:$K$1000000,"12",Donnees!$F$6:$F$1000000,"CTE")+SUMIFS(Donnees!$J$6:$J$1000000,Donnees!$K$6:$K$1000000,"12",Donnees!$F$6:$F$1000000,"CTE")
-SUMIFS(Donnees!$I$6:$I$1000000,Donnees!$K$6:$K$1000000,"12",Donnees!$F$6:$F$1000000,"ENCNR")+SUMIFS(Donnees!$J$6:$J$1000000,Donnees!$K$6:$K$1000000,"12",Donnees!$F$6:$F$1000000,"ENCNR")</f>
        <v>12000</v>
      </c>
      <c r="O24" s="24">
        <f t="shared" si="5"/>
        <v>29000</v>
      </c>
    </row>
    <row r="25" spans="2:15" ht="15" customHeight="1" thickBot="1" x14ac:dyDescent="0.3">
      <c r="B25" s="25" t="s">
        <v>20</v>
      </c>
      <c r="C25" s="26">
        <f>+C11+C16+C20+C24</f>
        <v>23912000</v>
      </c>
      <c r="D25" s="26">
        <f t="shared" ref="D25:O25" si="7">+D11+D16+D20+D24</f>
        <v>0</v>
      </c>
      <c r="E25" s="26">
        <f t="shared" si="7"/>
        <v>1389000</v>
      </c>
      <c r="F25" s="26">
        <f t="shared" si="7"/>
        <v>22204000</v>
      </c>
      <c r="G25" s="26">
        <f t="shared" si="7"/>
        <v>944000</v>
      </c>
      <c r="H25" s="26">
        <f t="shared" si="7"/>
        <v>711000</v>
      </c>
      <c r="I25" s="26">
        <f t="shared" si="7"/>
        <v>22414000</v>
      </c>
      <c r="J25" s="26">
        <f t="shared" si="7"/>
        <v>591000</v>
      </c>
      <c r="K25" s="26">
        <f t="shared" si="7"/>
        <v>294000</v>
      </c>
      <c r="L25" s="26">
        <f t="shared" si="7"/>
        <v>12978000</v>
      </c>
      <c r="M25" s="26">
        <f t="shared" si="7"/>
        <v>12450000</v>
      </c>
      <c r="N25" s="26">
        <f t="shared" si="7"/>
        <v>14342000</v>
      </c>
      <c r="O25" s="26">
        <f t="shared" si="7"/>
        <v>112229000</v>
      </c>
    </row>
    <row r="26" spans="2:15" ht="15" customHeight="1" thickBot="1" x14ac:dyDescent="0.3">
      <c r="B26" s="27" t="s">
        <v>16</v>
      </c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30"/>
    </row>
    <row r="27" spans="2:15" ht="15" customHeight="1" thickBot="1" x14ac:dyDescent="0.3">
      <c r="B27" s="17" t="s">
        <v>56</v>
      </c>
      <c r="C27" s="18">
        <f t="shared" ref="C27:O27" si="8">SUM(C28:C30)</f>
        <v>6736000</v>
      </c>
      <c r="D27" s="19">
        <f t="shared" si="8"/>
        <v>3960000</v>
      </c>
      <c r="E27" s="19">
        <f t="shared" si="8"/>
        <v>3368000</v>
      </c>
      <c r="F27" s="19">
        <f t="shared" si="8"/>
        <v>1368000</v>
      </c>
      <c r="G27" s="19">
        <f t="shared" si="8"/>
        <v>4144000</v>
      </c>
      <c r="H27" s="19">
        <f t="shared" si="8"/>
        <v>3960000</v>
      </c>
      <c r="I27" s="19">
        <f t="shared" si="8"/>
        <v>6444000</v>
      </c>
      <c r="J27" s="19">
        <f t="shared" si="8"/>
        <v>3852000</v>
      </c>
      <c r="K27" s="19">
        <f t="shared" si="8"/>
        <v>776000</v>
      </c>
      <c r="L27" s="19">
        <f t="shared" si="8"/>
        <v>10752000</v>
      </c>
      <c r="M27" s="19">
        <f t="shared" si="8"/>
        <v>6720000</v>
      </c>
      <c r="N27" s="19">
        <f t="shared" si="8"/>
        <v>5376000</v>
      </c>
      <c r="O27" s="24">
        <f t="shared" si="8"/>
        <v>57456000</v>
      </c>
    </row>
    <row r="28" spans="2:15" ht="15" customHeight="1" x14ac:dyDescent="0.25">
      <c r="B28" s="40" t="s">
        <v>17</v>
      </c>
      <c r="C28" s="21">
        <f>SUMIFS(Donnees!$I$6:$I$1000000,Donnees!$K$6:$K$1000000,"01",Donnees!$F$6:$F$1000000,"PER")-SUMIFS(Donnees!$J$6:$J$1000000,Donnees!$K$6:$K$1000000,"01",Donnees!$F$6:$F$1000000,"PER")</f>
        <v>5184000</v>
      </c>
      <c r="D28" s="22">
        <f>SUMIFS(Donnees!$I$6:$I$1000000,Donnees!$K$6:$K$1000000,"02",Donnees!$F$6:$F$1000000,"PER")-SUMIFS(Donnees!$J$6:$J$1000000,Donnees!$K$6:$K$1000000,"02",Donnees!$F$6:$F$1000000,"PER")</f>
        <v>2592000</v>
      </c>
      <c r="E28" s="22">
        <f>SUMIFS(Donnees!$I$6:$I$1000000,Donnees!$K$6:$K$1000000,"03",Donnees!$F$6:$F$1000000,"PER")-SUMIFS(Donnees!$J$6:$J$1000000,Donnees!$K$6:$K$1000000,"03",Donnees!$F$6:$F$1000000,"PER")</f>
        <v>2592000</v>
      </c>
      <c r="F28" s="22">
        <f>SUMIFS(Donnees!$I$6:$I$1000000,Donnees!$K$6:$K$1000000,"04",Donnees!$F$6:$F$1000000,"PER")-SUMIFS(Donnees!$J$6:$J$1000000,Donnees!$K$6:$K$1000000,"04",Donnees!$F$6:$F$1000000,"PER")</f>
        <v>0</v>
      </c>
      <c r="G28" s="22">
        <f>SUMIFS(Donnees!$I$6:$I$1000000,Donnees!$K$6:$K$1000000,"05",Donnees!$F$6:$F$1000000,"PER")-SUMIFS(Donnees!$J$6:$J$1000000,Donnees!$K$6:$K$1000000,"05",Donnees!$F$6:$F$1000000,"PER")</f>
        <v>2592000</v>
      </c>
      <c r="H28" s="22">
        <f>SUMIFS(Donnees!$I$6:$I$1000000,Donnees!$K$6:$K$1000000,"06",Donnees!$F$6:$F$1000000,"PER")-SUMIFS(Donnees!$J$6:$J$1000000,Donnees!$K$6:$K$1000000,"06",Donnees!$F$6:$F$1000000,"PER")</f>
        <v>2592000</v>
      </c>
      <c r="I28" s="22">
        <f>SUMIFS(Donnees!$I$6:$I$1000000,Donnees!$K$6:$K$1000000,"07",Donnees!$F$6:$F$1000000,"PER")-SUMIFS(Donnees!$J$6:$J$1000000,Donnees!$K$6:$K$1000000,"07",Donnees!$F$6:$F$1000000,"PER")</f>
        <v>2592000</v>
      </c>
      <c r="J28" s="22">
        <f>SUMIFS(Donnees!$I$6:$I$1000000,Donnees!$K$6:$K$1000000,"08",Donnees!$F$6:$F$1000000,"PER")-SUMIFS(Donnees!$J$6:$J$1000000,Donnees!$K$6:$K$1000000,"08",Donnees!$F$6:$F$1000000,"PER")</f>
        <v>2592000</v>
      </c>
      <c r="K28" s="22">
        <f>SUMIFS(Donnees!$I$6:$I$1000000,Donnees!$K$6:$K$1000000,"09",Donnees!$F$6:$F$1000000,"PER")-SUMIFS(Donnees!$J$6:$J$1000000,Donnees!$K$6:$K$1000000,"09",Donnees!$F$6:$F$1000000,"PER")</f>
        <v>0</v>
      </c>
      <c r="L28" s="22">
        <f>SUMIFS(Donnees!$I$6:$I$1000000,Donnees!$K$6:$K$1000000,"10",Donnees!$F$6:$F$1000000,"PER")-SUMIFS(Donnees!$J$6:$J$1000000,Donnees!$K$6:$K$1000000,"10",Donnees!$F$6:$F$1000000,"PER")</f>
        <v>2688000</v>
      </c>
      <c r="M28" s="22">
        <f>SUMIFS(Donnees!$I$6:$I$1000000,Donnees!$K$6:$K$1000000,"11",Donnees!$F$6:$F$1000000,"PER")-SUMIFS(Donnees!$J$6:$J$1000000,Donnees!$K$6:$K$1000000,"11",Donnees!$F$6:$F$1000000,"PER")</f>
        <v>1344000</v>
      </c>
      <c r="N28" s="22">
        <f>SUMIFS(Donnees!$I$6:$I$1000000,Donnees!$K$6:$K$1000000,"12",Donnees!$F$6:$F$1000000,"PER")-SUMIFS(Donnees!$J$6:$J$1000000,Donnees!$K$6:$K$1000000,"12",Donnees!$F$6:$F$1000000,"PER")</f>
        <v>1344000</v>
      </c>
      <c r="O28" s="23">
        <f t="shared" ref="O28:O30" si="9">SUM(C28:N28)</f>
        <v>26112000</v>
      </c>
    </row>
    <row r="29" spans="2:15" ht="15" customHeight="1" x14ac:dyDescent="0.25">
      <c r="B29" s="41" t="s">
        <v>57</v>
      </c>
      <c r="C29" s="21">
        <f>SUMIFS(Donnees!$I$6:$I$1000000,Donnees!$K$6:$K$1000000,"01",Donnees!$F$6:$F$1000000,"FON")-SUMIFS(Donnees!$J$6:$J$1000000,Donnees!$K$6:$K$1000000,"01",Donnees!$F$6:$F$1000000,"FON")</f>
        <v>1552000</v>
      </c>
      <c r="D29" s="22">
        <f>SUMIFS(Donnees!$I$6:$I$1000000,Donnees!$K$6:$K$1000000,"02",Donnees!$F$6:$F$1000000,"FON")-SUMIFS(Donnees!$J$6:$J$1000000,Donnees!$K$6:$K$1000000,"02",Donnees!$F$6:$F$1000000,"FON")</f>
        <v>1368000</v>
      </c>
      <c r="E29" s="22">
        <f>SUMIFS(Donnees!$I$6:$I$1000000,Donnees!$K$6:$K$1000000,"03",Donnees!$F$6:$F$1000000,"FON")-SUMIFS(Donnees!$J$6:$J$1000000,Donnees!$K$6:$K$1000000,"03",Donnees!$F$6:$F$1000000,"FON")</f>
        <v>776000</v>
      </c>
      <c r="F29" s="22">
        <f>SUMIFS(Donnees!$I$6:$I$1000000,Donnees!$K$6:$K$1000000,"04",Donnees!$F$6:$F$1000000,"FON")-SUMIFS(Donnees!$J$6:$J$1000000,Donnees!$K$6:$K$1000000,"04",Donnees!$F$6:$F$1000000,"FON")</f>
        <v>1368000</v>
      </c>
      <c r="G29" s="22">
        <f>SUMIFS(Donnees!$I$6:$I$1000000,Donnees!$K$6:$K$1000000,"05",Donnees!$F$6:$F$1000000,"FON")-SUMIFS(Donnees!$J$6:$J$1000000,Donnees!$K$6:$K$1000000,"05",Donnees!$F$6:$F$1000000,"FON")</f>
        <v>1552000</v>
      </c>
      <c r="H29" s="22">
        <f>SUMIFS(Donnees!$I$6:$I$1000000,Donnees!$K$6:$K$1000000,"06",Donnees!$F$6:$F$1000000,"FON")-SUMIFS(Donnees!$J$6:$J$1000000,Donnees!$K$6:$K$1000000,"06",Donnees!$F$6:$F$1000000,"FON")</f>
        <v>1368000</v>
      </c>
      <c r="I29" s="22">
        <f>SUMIFS(Donnees!$I$6:$I$1000000,Donnees!$K$6:$K$1000000,"07",Donnees!$F$6:$F$1000000,"FON")-SUMIFS(Donnees!$J$6:$J$1000000,Donnees!$K$6:$K$1000000,"07",Donnees!$F$6:$F$1000000,"FON")</f>
        <v>1260000</v>
      </c>
      <c r="J29" s="22">
        <f>SUMIFS(Donnees!$I$6:$I$1000000,Donnees!$K$6:$K$1000000,"08",Donnees!$F$6:$F$1000000,"FON")-SUMIFS(Donnees!$J$6:$J$1000000,Donnees!$K$6:$K$1000000,"08",Donnees!$F$6:$F$1000000,"FON")</f>
        <v>1260000</v>
      </c>
      <c r="K29" s="22">
        <f>SUMIFS(Donnees!$I$6:$I$1000000,Donnees!$K$6:$K$1000000,"09",Donnees!$F$6:$F$1000000,"FON")-SUMIFS(Donnees!$J$6:$J$1000000,Donnees!$K$6:$K$1000000,"09",Donnees!$F$6:$F$1000000,"FON")</f>
        <v>776000</v>
      </c>
      <c r="L29" s="22">
        <f>SUMIFS(Donnees!$I$6:$I$1000000,Donnees!$K$6:$K$1000000,"10",Donnees!$F$6:$F$1000000,"FON")-SUMIFS(Donnees!$J$6:$J$1000000,Donnees!$K$6:$K$1000000,"10",Donnees!$F$6:$F$1000000,"FON")</f>
        <v>8064000</v>
      </c>
      <c r="M29" s="22">
        <f>SUMIFS(Donnees!$I$6:$I$1000000,Donnees!$K$6:$K$1000000,"11",Donnees!$F$6:$F$1000000,"FON")-SUMIFS(Donnees!$J$6:$J$1000000,Donnees!$K$6:$K$1000000,"11",Donnees!$F$6:$F$1000000,"FON")</f>
        <v>5376000</v>
      </c>
      <c r="N29" s="22">
        <f>SUMIFS(Donnees!$I$6:$I$1000000,Donnees!$K$6:$K$1000000,"12",Donnees!$F$6:$F$1000000,"FON")-SUMIFS(Donnees!$J$6:$J$1000000,Donnees!$K$6:$K$1000000,"12",Donnees!$F$6:$F$1000000,"FON")</f>
        <v>4032000</v>
      </c>
      <c r="O29" s="23">
        <f t="shared" si="9"/>
        <v>28752000</v>
      </c>
    </row>
    <row r="30" spans="2:15" ht="15" customHeight="1" thickBot="1" x14ac:dyDescent="0.3">
      <c r="B30" s="41" t="s">
        <v>58</v>
      </c>
      <c r="C30" s="21">
        <f>SUMIFS(Donnees!$I$6:$I$1000000,Donnees!$K$6:$K$1000000,"01",Donnees!$F$6:$F$1000000,"INT")-SUMIFS(Donnees!$J$6:$J$1000000,Donnees!$K$6:$K$1000000,"01",Donnees!$F$6:$F$1000000,"INT")</f>
        <v>0</v>
      </c>
      <c r="D30" s="22">
        <f>SUMIFS(Donnees!$I$6:$I$1000000,Donnees!$K$6:$K$1000000,"02",Donnees!$F$6:$F$1000000,"INT")-SUMIFS(Donnees!$J$6:$J$1000000,Donnees!$K$6:$K$1000000,"02",Donnees!$F$6:$F$1000000,"INT")</f>
        <v>0</v>
      </c>
      <c r="E30" s="22">
        <f>SUMIFS(Donnees!$I$6:$I$1000000,Donnees!$K$6:$K$1000000,"03",Donnees!$F$6:$F$1000000,"INT")-SUMIFS(Donnees!$J$6:$J$1000000,Donnees!$K$6:$K$1000000,"03",Donnees!$F$6:$F$1000000,"INT")</f>
        <v>0</v>
      </c>
      <c r="F30" s="22">
        <f>SUMIFS(Donnees!$I$6:$I$1000000,Donnees!$K$6:$K$1000000,"04",Donnees!$F$6:$F$1000000,"INT")-SUMIFS(Donnees!$J$6:$J$1000000,Donnees!$K$6:$K$1000000,"04",Donnees!$F$6:$F$1000000,"INT")</f>
        <v>0</v>
      </c>
      <c r="G30" s="22">
        <f>SUMIFS(Donnees!$I$6:$I$1000000,Donnees!$K$6:$K$1000000,"05",Donnees!$F$6:$F$1000000,"INT")-SUMIFS(Donnees!$J$6:$J$1000000,Donnees!$K$6:$K$1000000,"05",Donnees!$F$6:$F$1000000,"INT")</f>
        <v>0</v>
      </c>
      <c r="H30" s="22">
        <f>SUMIFS(Donnees!$I$6:$I$1000000,Donnees!$K$6:$K$1000000,"06",Donnees!$F$6:$F$1000000,"INT")-SUMIFS(Donnees!$J$6:$J$1000000,Donnees!$K$6:$K$1000000,"06",Donnees!$F$6:$F$1000000,"INT")</f>
        <v>0</v>
      </c>
      <c r="I30" s="22">
        <f>SUMIFS(Donnees!$I$6:$I$1000000,Donnees!$K$6:$K$1000000,"07",Donnees!$F$6:$F$1000000,"INT")-SUMIFS(Donnees!$J$6:$J$1000000,Donnees!$K$6:$K$1000000,"07",Donnees!$F$6:$F$1000000,"INT")</f>
        <v>2592000</v>
      </c>
      <c r="J30" s="22">
        <f>SUMIFS(Donnees!$I$6:$I$1000000,Donnees!$K$6:$K$1000000,"08",Donnees!$F$6:$F$1000000,"INT")-SUMIFS(Donnees!$J$6:$J$1000000,Donnees!$K$6:$K$1000000,"08",Donnees!$F$6:$F$1000000,"INT")</f>
        <v>0</v>
      </c>
      <c r="K30" s="22">
        <f>SUMIFS(Donnees!$I$6:$I$1000000,Donnees!$K$6:$K$1000000,"09",Donnees!$F$6:$F$1000000,"INT")-SUMIFS(Donnees!$J$6:$J$1000000,Donnees!$K$6:$K$1000000,"09",Donnees!$F$6:$F$1000000,"INT")</f>
        <v>0</v>
      </c>
      <c r="L30" s="22">
        <f>SUMIFS(Donnees!$I$6:$I$1000000,Donnees!$K$6:$K$1000000,"10",Donnees!$F$6:$F$1000000,"INT")-SUMIFS(Donnees!$J$6:$J$1000000,Donnees!$K$6:$K$1000000,"10",Donnees!$F$6:$F$1000000,"INT")</f>
        <v>0</v>
      </c>
      <c r="M30" s="22">
        <f>SUMIFS(Donnees!$I$6:$I$1000000,Donnees!$K$6:$K$1000000,"11",Donnees!$F$6:$F$1000000,"INT")-SUMIFS(Donnees!$J$6:$J$1000000,Donnees!$K$6:$K$1000000,"11",Donnees!$F$6:$F$1000000,"INT")</f>
        <v>0</v>
      </c>
      <c r="N30" s="22">
        <f>SUMIFS(Donnees!$I$6:$I$1000000,Donnees!$K$6:$K$1000000,"12",Donnees!$F$6:$F$1000000,"INT")-SUMIFS(Donnees!$J$6:$J$1000000,Donnees!$K$6:$K$1000000,"12",Donnees!$F$6:$F$1000000,"INT")</f>
        <v>0</v>
      </c>
      <c r="O30" s="23">
        <f t="shared" si="9"/>
        <v>2592000</v>
      </c>
    </row>
    <row r="31" spans="2:15" ht="15" customHeight="1" thickBot="1" x14ac:dyDescent="0.3">
      <c r="B31" s="17" t="s">
        <v>59</v>
      </c>
      <c r="C31" s="18">
        <f t="shared" ref="C31:O31" si="10">SUM(C32:C33)</f>
        <v>1080000</v>
      </c>
      <c r="D31" s="19">
        <f t="shared" si="10"/>
        <v>0</v>
      </c>
      <c r="E31" s="19">
        <f t="shared" si="10"/>
        <v>75000</v>
      </c>
      <c r="F31" s="19">
        <f t="shared" si="10"/>
        <v>0</v>
      </c>
      <c r="G31" s="19">
        <f t="shared" si="10"/>
        <v>580000</v>
      </c>
      <c r="H31" s="19">
        <f t="shared" si="10"/>
        <v>74690</v>
      </c>
      <c r="I31" s="19">
        <f t="shared" si="10"/>
        <v>59740</v>
      </c>
      <c r="J31" s="19">
        <f t="shared" si="10"/>
        <v>0</v>
      </c>
      <c r="K31" s="19">
        <f t="shared" si="10"/>
        <v>0</v>
      </c>
      <c r="L31" s="19">
        <f t="shared" si="10"/>
        <v>0</v>
      </c>
      <c r="M31" s="19">
        <f t="shared" si="10"/>
        <v>420000</v>
      </c>
      <c r="N31" s="19">
        <f t="shared" si="10"/>
        <v>0</v>
      </c>
      <c r="O31" s="20">
        <f t="shared" si="10"/>
        <v>2289430</v>
      </c>
    </row>
    <row r="32" spans="2:15" ht="15" customHeight="1" x14ac:dyDescent="0.25">
      <c r="B32" s="44" t="s">
        <v>140</v>
      </c>
      <c r="C32" s="21">
        <f>SUMIFS(Donnees!$I$6:$I$1000000,Donnees!$K$6:$K$1000000,"01",Donnees!$H$6:$H$1000000,"ICID")-SUMIFS(Donnees!$J$6:$J$1000000,Donnees!$K$6:$K$1000000,"01",Donnees!$H$6:$H$1000000,"ICID")+SUMIFS(Donnees!$I$6:$I$1000000,Donnees!$K$6:$K$1000000,"01",Donnees!$H$6:$H$1000000,"IFID")-SUMIFS(Donnees!$J$6:$J$1000000,Donnees!$K$6:$K$1000000,"01",Donnees!$H$6:$H$1000000,"IFID")</f>
        <v>146200</v>
      </c>
      <c r="D32" s="21">
        <f>SUMIFS(Donnees!$I$6:$I$1000000,Donnees!$K$6:$K$1000000,"02",Donnees!$H$6:$H$1000000,"ICID")-SUMIFS(Donnees!$J$6:$J$1000000,Donnees!$K$6:$K$1000000,"02",Donnees!$H$6:$H$1000000,"ICID")+SUMIFS(Donnees!$I$6:$I$1000000,Donnees!$K$6:$K$1000000,"02",Donnees!$H$6:$H$1000000,"IFID")-SUMIFS(Donnees!$J$6:$J$1000000,Donnees!$K$6:$K$1000000,"02",Donnees!$H$6:$H$1000000,"IFID")</f>
        <v>0</v>
      </c>
      <c r="E32" s="21">
        <f>SUMIFS(Donnees!$I$6:$I$1000000,Donnees!$K$6:$K$1000000,"03",Donnees!$H$6:$H$1000000,"ICID")-SUMIFS(Donnees!$J$6:$J$1000000,Donnees!$K$6:$K$1000000,"03",Donnees!$H$6:$H$1000000,"ICID")+SUMIFS(Donnees!$I$6:$I$1000000,Donnees!$K$6:$K$1000000,"03",Donnees!$H$6:$H$1000000,"IFID")-SUMIFS(Donnees!$J$6:$J$1000000,Donnees!$K$6:$K$1000000,"03",Donnees!$H$6:$H$1000000,"IFID")</f>
        <v>75000</v>
      </c>
      <c r="F32" s="21">
        <f>SUMIFS(Donnees!$I$6:$I$1000000,Donnees!$K$6:$K$1000000,"04",Donnees!$H$6:$H$1000000,"ICID")-SUMIFS(Donnees!$J$6:$J$1000000,Donnees!$K$6:$K$1000000,"04",Donnees!$H$6:$H$1000000,"ICID")+SUMIFS(Donnees!$I$6:$I$1000000,Donnees!$K$6:$K$1000000,"04",Donnees!$H$6:$H$1000000,"IFID")-SUMIFS(Donnees!$J$6:$J$1000000,Donnees!$K$6:$K$1000000,"04",Donnees!$H$6:$H$1000000,"IFID")</f>
        <v>0</v>
      </c>
      <c r="G32" s="21">
        <f>SUMIFS(Donnees!$I$6:$I$1000000,Donnees!$K$6:$K$1000000,"05",Donnees!$H$6:$H$1000000,"ICID")-SUMIFS(Donnees!$J$6:$J$1000000,Donnees!$K$6:$K$1000000,"05",Donnees!$H$6:$H$1000000,"ICID")+SUMIFS(Donnees!$I$6:$I$1000000,Donnees!$K$6:$K$1000000,"05",Donnees!$H$6:$H$1000000,"IFID")-SUMIFS(Donnees!$J$6:$J$1000000,Donnees!$K$6:$K$1000000,"05",Donnees!$H$6:$H$1000000,"IFID")</f>
        <v>0</v>
      </c>
      <c r="H32" s="21">
        <f>SUMIFS(Donnees!$I$6:$I$1000000,Donnees!$K$6:$K$1000000,"06",Donnees!$H$6:$H$1000000,"ICID")-SUMIFS(Donnees!$J$6:$J$1000000,Donnees!$K$6:$K$1000000,"06",Donnees!$H$6:$H$1000000,"ICID")+SUMIFS(Donnees!$I$6:$I$1000000,Donnees!$K$6:$K$1000000,"06",Donnees!$H$6:$H$1000000,"IFID")-SUMIFS(Donnees!$J$6:$J$1000000,Donnees!$K$6:$K$1000000,"06",Donnees!$H$6:$H$1000000,"IFID")</f>
        <v>74690</v>
      </c>
      <c r="I32" s="21">
        <f>SUMIFS(Donnees!$I$6:$I$1000000,Donnees!$K$6:$K$1000000,"07",Donnees!$H$6:$H$1000000,"ICID")-SUMIFS(Donnees!$J$6:$J$1000000,Donnees!$K$6:$K$1000000,"07",Donnees!$H$6:$H$1000000,"ICID")+SUMIFS(Donnees!$I$6:$I$1000000,Donnees!$K$6:$K$1000000,"07",Donnees!$H$6:$H$1000000,"IFID")-SUMIFS(Donnees!$J$6:$J$1000000,Donnees!$K$6:$K$1000000,"07",Donnees!$H$6:$H$1000000,"IFID")</f>
        <v>59740</v>
      </c>
      <c r="J32" s="21">
        <f>SUMIFS(Donnees!$I$6:$I$1000000,Donnees!$K$6:$K$1000000,"08",Donnees!$H$6:$H$1000000,"ICID")-SUMIFS(Donnees!$J$6:$J$1000000,Donnees!$K$6:$K$1000000,"08",Donnees!$H$6:$H$1000000,"ICID")+SUMIFS(Donnees!$I$6:$I$1000000,Donnees!$K$6:$K$1000000,"08",Donnees!$H$6:$H$1000000,"IFID")-SUMIFS(Donnees!$J$6:$J$1000000,Donnees!$K$6:$K$1000000,"08",Donnees!$H$6:$H$1000000,"IFID")</f>
        <v>0</v>
      </c>
      <c r="K32" s="21">
        <f>SUMIFS(Donnees!$I$6:$I$1000000,Donnees!$K$6:$K$1000000,"09",Donnees!$H$6:$H$1000000,"ICID")-SUMIFS(Donnees!$J$6:$J$1000000,Donnees!$K$6:$K$1000000,"09",Donnees!$H$6:$H$1000000,"ICID")+SUMIFS(Donnees!$I$6:$I$1000000,Donnees!$K$6:$K$1000000,"09",Donnees!$H$6:$H$1000000,"IFID")-SUMIFS(Donnees!$J$6:$J$1000000,Donnees!$K$6:$K$1000000,"09",Donnees!$H$6:$H$1000000,"IFID")</f>
        <v>0</v>
      </c>
      <c r="L32" s="21">
        <f>SUMIFS(Donnees!$I$6:$I$1000000,Donnees!$K$6:$K$1000000,"10",Donnees!$H$6:$H$1000000,"ICID")-SUMIFS(Donnees!$J$6:$J$1000000,Donnees!$K$6:$K$1000000,"10",Donnees!$H$6:$H$1000000,"ICID")+SUMIFS(Donnees!$I$6:$I$1000000,Donnees!$K$6:$K$1000000,"10",Donnees!$H$6:$H$1000000,"IFID")-SUMIFS(Donnees!$J$6:$J$1000000,Donnees!$K$6:$K$1000000,"10",Donnees!$H$6:$H$1000000,"IFID")</f>
        <v>0</v>
      </c>
      <c r="M32" s="21">
        <f>SUMIFS(Donnees!$I$6:$I$1000000,Donnees!$K$6:$K$1000000,"11",Donnees!$H$6:$H$1000000,"ICID")-SUMIFS(Donnees!$J$6:$J$1000000,Donnees!$K$6:$K$1000000,"11",Donnees!$H$6:$H$1000000,"ICID")+SUMIFS(Donnees!$I$6:$I$1000000,Donnees!$K$6:$K$1000000,"11",Donnees!$H$6:$H$1000000,"IFID")-SUMIFS(Donnees!$J$6:$J$1000000,Donnees!$K$6:$K$1000000,"11",Donnees!$H$6:$H$1000000,"IFID")</f>
        <v>0</v>
      </c>
      <c r="N32" s="21">
        <f>SUMIFS(Donnees!$I$6:$I$1000000,Donnees!$K$6:$K$1000000,"12",Donnees!$H$6:$H$1000000,"ICID")-SUMIFS(Donnees!$J$6:$J$1000000,Donnees!$K$6:$K$1000000,"12",Donnees!$H$6:$H$1000000,"ICID")+SUMIFS(Donnees!$I$6:$I$1000000,Donnees!$K$6:$K$1000000,"12",Donnees!$H$6:$H$1000000,"IFID")-SUMIFS(Donnees!$J$6:$J$1000000,Donnees!$K$6:$K$1000000,"12",Donnees!$H$6:$H$1000000,"IFID")</f>
        <v>0</v>
      </c>
      <c r="O32" s="23">
        <f t="shared" ref="O32:O33" si="11">SUM(C32:N32)</f>
        <v>355630</v>
      </c>
    </row>
    <row r="33" spans="2:15" ht="15" customHeight="1" thickBot="1" x14ac:dyDescent="0.3">
      <c r="B33" s="45" t="s">
        <v>60</v>
      </c>
      <c r="C33" s="21">
        <f>SUMIFS(Donnees!$I$6:$I$1000000,Donnees!$K$6:$K$1000000,"01",Donnees!$F$6:$F$1000000,"EMR")-SUMIFS(Donnees!$J$6:$J$1000000,Donnees!$K$6:$K$1000000,"01",Donnees!$F$6:$F$1000000,"EMR")</f>
        <v>933800</v>
      </c>
      <c r="D33" s="22">
        <f>SUMIFS(Donnees!$I$6:$I$1000000,Donnees!$K$6:$K$1000000,"02",Donnees!$F$6:$F$1000000,"EMR")-SUMIFS(Donnees!$J$6:$J$1000000,Donnees!$K$6:$K$1000000,"02",Donnees!$F$6:$F$1000000,"EMR")</f>
        <v>0</v>
      </c>
      <c r="E33" s="22">
        <f>SUMIFS(Donnees!$I$6:$I$1000000,Donnees!$K$6:$K$1000000,"03",Donnees!$F$6:$F$1000000,"EMR")-SUMIFS(Donnees!$J$6:$J$1000000,Donnees!$K$6:$K$1000000,"03",Donnees!$F$6:$F$1000000,"EMR")</f>
        <v>0</v>
      </c>
      <c r="F33" s="22">
        <f>SUMIFS(Donnees!$I$6:$I$1000000,Donnees!$K$6:$K$1000000,"04",Donnees!$F$6:$F$1000000,"EMR")-SUMIFS(Donnees!$J$6:$J$1000000,Donnees!$K$6:$K$1000000,"04",Donnees!$F$6:$F$1000000,"EMR")</f>
        <v>0</v>
      </c>
      <c r="G33" s="22">
        <f>SUMIFS(Donnees!$I$6:$I$1000000,Donnees!$K$6:$K$1000000,"05",Donnees!$F$6:$F$1000000,"EMR")-SUMIFS(Donnees!$J$6:$J$1000000,Donnees!$K$6:$K$1000000,"05",Donnees!$F$6:$F$1000000,"EMR")</f>
        <v>580000</v>
      </c>
      <c r="H33" s="22">
        <f>SUMIFS(Donnees!$I$6:$I$1000000,Donnees!$K$6:$K$1000000,"06",Donnees!$F$6:$F$1000000,"EMR")-SUMIFS(Donnees!$J$6:$J$1000000,Donnees!$K$6:$K$1000000,"06",Donnees!$F$6:$F$1000000,"EMR")</f>
        <v>0</v>
      </c>
      <c r="I33" s="22">
        <f>SUMIFS(Donnees!$I$6:$I$1000000,Donnees!$K$6:$K$1000000,"07",Donnees!$F$6:$F$1000000,"EMR")-SUMIFS(Donnees!$J$6:$J$1000000,Donnees!$K$6:$K$1000000,"07",Donnees!$F$6:$F$1000000,"EMR")</f>
        <v>0</v>
      </c>
      <c r="J33" s="22">
        <f>SUMIFS(Donnees!$I$6:$I$1000000,Donnees!$K$6:$K$1000000,"08",Donnees!$F$6:$F$1000000,"EMR")-SUMIFS(Donnees!$J$6:$J$1000000,Donnees!$K$6:$K$1000000,"08",Donnees!$F$6:$F$1000000,"EMR")</f>
        <v>0</v>
      </c>
      <c r="K33" s="22">
        <f>SUMIFS(Donnees!$I$6:$I$1000000,Donnees!$K$6:$K$1000000,"09",Donnees!$F$6:$F$1000000,"EMR")-SUMIFS(Donnees!$J$6:$J$1000000,Donnees!$K$6:$K$1000000,"09",Donnees!$F$6:$F$1000000,"EMR")</f>
        <v>0</v>
      </c>
      <c r="L33" s="22">
        <f>SUMIFS(Donnees!$I$6:$I$1000000,Donnees!$K$6:$K$1000000,"10",Donnees!$F$6:$F$1000000,"EMR")-SUMIFS(Donnees!$J$6:$J$1000000,Donnees!$K$6:$K$1000000,"10",Donnees!$F$6:$F$1000000,"EMR")</f>
        <v>0</v>
      </c>
      <c r="M33" s="22">
        <f>SUMIFS(Donnees!$I$6:$I$1000000,Donnees!$K$6:$K$1000000,"11",Donnees!$F$6:$F$1000000,"EMR")-SUMIFS(Donnees!$J$6:$J$1000000,Donnees!$K$6:$K$1000000,"11",Donnees!$F$6:$F$1000000,"EMR")</f>
        <v>420000</v>
      </c>
      <c r="N33" s="22">
        <f>SUMIFS(Donnees!$I$6:$I$1000000,Donnees!$K$6:$K$1000000,"12",Donnees!$F$6:$F$1000000,"EMR")-SUMIFS(Donnees!$J$6:$J$1000000,Donnees!$K$6:$K$1000000,"12",Donnees!$F$6:$F$1000000,"EMR")</f>
        <v>0</v>
      </c>
      <c r="O33" s="23">
        <f t="shared" si="11"/>
        <v>1933800</v>
      </c>
    </row>
    <row r="34" spans="2:15" ht="15" customHeight="1" thickBot="1" x14ac:dyDescent="0.3">
      <c r="B34" s="17" t="s">
        <v>144</v>
      </c>
      <c r="C34" s="18">
        <f>SUM(C35:C37)</f>
        <v>0</v>
      </c>
      <c r="D34" s="18">
        <f t="shared" ref="D34:O34" si="12">SUM(D35:D37)</f>
        <v>0</v>
      </c>
      <c r="E34" s="18">
        <f t="shared" si="12"/>
        <v>4000</v>
      </c>
      <c r="F34" s="18">
        <f t="shared" si="12"/>
        <v>0</v>
      </c>
      <c r="G34" s="18">
        <f t="shared" si="12"/>
        <v>0</v>
      </c>
      <c r="H34" s="18">
        <f t="shared" si="12"/>
        <v>61000</v>
      </c>
      <c r="I34" s="18">
        <f t="shared" si="12"/>
        <v>0</v>
      </c>
      <c r="J34" s="18">
        <f t="shared" si="12"/>
        <v>4300</v>
      </c>
      <c r="K34" s="18">
        <f t="shared" si="12"/>
        <v>0</v>
      </c>
      <c r="L34" s="18">
        <f t="shared" si="12"/>
        <v>0</v>
      </c>
      <c r="M34" s="18">
        <f t="shared" si="12"/>
        <v>50000</v>
      </c>
      <c r="N34" s="18">
        <f t="shared" si="12"/>
        <v>0</v>
      </c>
      <c r="O34" s="18">
        <f t="shared" si="12"/>
        <v>119300</v>
      </c>
    </row>
    <row r="35" spans="2:15" ht="15" customHeight="1" x14ac:dyDescent="0.25">
      <c r="B35" s="41" t="s">
        <v>65</v>
      </c>
      <c r="C35" s="21">
        <f>SUMIFS(Donnees!$I$6:$I$1000000,Donnees!$K$6:$K$1000000,"01",Donnees!$F$6:$F$1000000,"FISKD")-SUMIFS(Donnees!$J$6:$J$1000000,Donnees!$K$6:$K$1000000,"01",Donnees!$F$6:$F$1000000,"FISKD")
+SUMIFS(Donnees!$I$6:$I$1000000,Donnees!$K$6:$K$1000000,"01",Donnees!$F$6:$F$1000000,"TVAD")-SUMIFS(Donnees!$J$6:$J$1000000,Donnees!$K$6:$K$1000000,"01",Donnees!$F$6:$F$1000000,"TVAD")</f>
        <v>0</v>
      </c>
      <c r="D35" s="21">
        <f>SUMIFS(Donnees!$I$6:$I$1000000,Donnees!$K$6:$K$1000000,"02",Donnees!$F$6:$F$1000000,"FISKD")-SUMIFS(Donnees!$J$6:$J$1000000,Donnees!$K$6:$K$1000000,"02",Donnees!$F$6:$F$1000000,"FISKD")
+SUMIFS(Donnees!$I$6:$I$1000000,Donnees!$K$6:$K$1000000,"02",Donnees!$F$6:$F$1000000,"TVAD")-SUMIFS(Donnees!$J$6:$J$1000000,Donnees!$K$6:$K$1000000,"02",Donnees!$F$6:$F$1000000,"TVAD")</f>
        <v>0</v>
      </c>
      <c r="E35" s="21">
        <f>SUMIFS(Donnees!$I$6:$I$1000000,Donnees!$K$6:$K$1000000,"03",Donnees!$F$6:$F$1000000,"FISKD")-SUMIFS(Donnees!$J$6:$J$1000000,Donnees!$K$6:$K$1000000,"03",Donnees!$F$6:$F$1000000,"FISKD")
+SUMIFS(Donnees!$I$6:$I$1000000,Donnees!$K$6:$K$1000000,"03",Donnees!$F$6:$F$1000000,"TVAD")-SUMIFS(Donnees!$J$6:$J$1000000,Donnees!$K$6:$K$1000000,"03",Donnees!$F$6:$F$1000000,"TVAD")</f>
        <v>4000</v>
      </c>
      <c r="F35" s="21">
        <f>SUMIFS(Donnees!$I$6:$I$1000000,Donnees!$K$6:$K$1000000,"04",Donnees!$F$6:$F$1000000,"FISKD")-SUMIFS(Donnees!$J$6:$J$1000000,Donnees!$K$6:$K$1000000,"04",Donnees!$F$6:$F$1000000,"FISKD")
+SUMIFS(Donnees!$I$6:$I$1000000,Donnees!$K$6:$K$1000000,"04",Donnees!$F$6:$F$1000000,"TVAD")-SUMIFS(Donnees!$J$6:$J$1000000,Donnees!$K$6:$K$1000000,"04",Donnees!$F$6:$F$1000000,"TVAD")</f>
        <v>0</v>
      </c>
      <c r="G35" s="21">
        <f>SUMIFS(Donnees!$I$6:$I$1000000,Donnees!$K$6:$K$1000000,"05",Donnees!$F$6:$F$1000000,"FISKD")-SUMIFS(Donnees!$J$6:$J$1000000,Donnees!$K$6:$K$1000000,"05",Donnees!$F$6:$F$1000000,"FISKD")
+SUMIFS(Donnees!$I$6:$I$1000000,Donnees!$K$6:$K$1000000,"05",Donnees!$F$6:$F$1000000,"TVAD")-SUMIFS(Donnees!$J$6:$J$1000000,Donnees!$K$6:$K$1000000,"05",Donnees!$F$6:$F$1000000,"TVAD")</f>
        <v>0</v>
      </c>
      <c r="H35" s="21">
        <f>SUMIFS(Donnees!$I$6:$I$1000000,Donnees!$K$6:$K$1000000,"06",Donnees!$F$6:$F$1000000,"FISKD")-SUMIFS(Donnees!$J$6:$J$1000000,Donnees!$K$6:$K$1000000,"06",Donnees!$F$6:$F$1000000,"FISKD")
+SUMIFS(Donnees!$I$6:$I$1000000,Donnees!$K$6:$K$1000000,"06",Donnees!$F$6:$F$1000000,"TVAD")-SUMIFS(Donnees!$J$6:$J$1000000,Donnees!$K$6:$K$1000000,"06",Donnees!$F$6:$F$1000000,"TVAD")</f>
        <v>0</v>
      </c>
      <c r="I35" s="21">
        <f>SUMIFS(Donnees!$I$6:$I$1000000,Donnees!$K$6:$K$1000000,"07",Donnees!$F$6:$F$1000000,"FISKD")-SUMIFS(Donnees!$J$6:$J$1000000,Donnees!$K$6:$K$1000000,"07",Donnees!$F$6:$F$1000000,"FISKD")
+SUMIFS(Donnees!$I$6:$I$1000000,Donnees!$K$6:$K$1000000,"07",Donnees!$F$6:$F$1000000,"TVAD")-SUMIFS(Donnees!$J$6:$J$1000000,Donnees!$K$6:$K$1000000,"07",Donnees!$F$6:$F$1000000,"TVAD")</f>
        <v>0</v>
      </c>
      <c r="J35" s="21">
        <f>SUMIFS(Donnees!$I$6:$I$1000000,Donnees!$K$6:$K$1000000,"08",Donnees!$F$6:$F$1000000,"FISKD")-SUMIFS(Donnees!$J$6:$J$1000000,Donnees!$K$6:$K$1000000,"08",Donnees!$F$6:$F$1000000,"FISKD")
+SUMIFS(Donnees!$I$6:$I$1000000,Donnees!$K$6:$K$1000000,"08",Donnees!$F$6:$F$1000000,"TVAD")-SUMIFS(Donnees!$J$6:$J$1000000,Donnees!$K$6:$K$1000000,"08",Donnees!$F$6:$F$1000000,"TVAD")</f>
        <v>4300</v>
      </c>
      <c r="K35" s="21">
        <f>SUMIFS(Donnees!$I$6:$I$1000000,Donnees!$K$6:$K$1000000,"09",Donnees!$F$6:$F$1000000,"FISKD")-SUMIFS(Donnees!$J$6:$J$1000000,Donnees!$K$6:$K$1000000,"09",Donnees!$F$6:$F$1000000,"FISKD")
+SUMIFS(Donnees!$I$6:$I$1000000,Donnees!$K$6:$K$1000000,"09",Donnees!$F$6:$F$1000000,"TVAD")-SUMIFS(Donnees!$J$6:$J$1000000,Donnees!$K$6:$K$1000000,"09",Donnees!$F$6:$F$1000000,"TVAD")</f>
        <v>0</v>
      </c>
      <c r="L35" s="21">
        <f>SUMIFS(Donnees!$I$6:$I$1000000,Donnees!$K$6:$K$1000000,"10",Donnees!$F$6:$F$1000000,"FISKD")-SUMIFS(Donnees!$J$6:$J$1000000,Donnees!$K$6:$K$1000000,"10",Donnees!$F$6:$F$1000000,"FISKD")
+SUMIFS(Donnees!$I$6:$I$1000000,Donnees!$K$6:$K$1000000,"10",Donnees!$F$6:$F$1000000,"TVAD")-SUMIFS(Donnees!$J$6:$J$1000000,Donnees!$K$6:$K$1000000,"10",Donnees!$F$6:$F$1000000,"TVAD")</f>
        <v>0</v>
      </c>
      <c r="M35" s="21">
        <f>SUMIFS(Donnees!$I$6:$I$1000000,Donnees!$K$6:$K$1000000,"11",Donnees!$F$6:$F$1000000,"FISKD")-SUMIFS(Donnees!$J$6:$J$1000000,Donnees!$K$6:$K$1000000,"11",Donnees!$F$6:$F$1000000,"FISKD")
+SUMIFS(Donnees!$I$6:$I$1000000,Donnees!$K$6:$K$1000000,"11",Donnees!$F$6:$F$1000000,"TVAD")-SUMIFS(Donnees!$J$6:$J$1000000,Donnees!$K$6:$K$1000000,"11",Donnees!$F$6:$F$1000000,"TVAD")</f>
        <v>0</v>
      </c>
      <c r="N35" s="21">
        <f>SUMIFS(Donnees!$I$6:$I$1000000,Donnees!$K$6:$K$1000000,"12",Donnees!$F$6:$F$1000000,"FISKD")-SUMIFS(Donnees!$J$6:$J$1000000,Donnees!$K$6:$K$1000000,"12",Donnees!$F$6:$F$1000000,"FISKD")
+SUMIFS(Donnees!$I$6:$I$1000000,Donnees!$K$6:$K$1000000,"12",Donnees!$F$6:$F$1000000,"TVAD")-SUMIFS(Donnees!$J$6:$J$1000000,Donnees!$K$6:$K$1000000,"12",Donnees!$F$6:$F$1000000,"TVAD")</f>
        <v>0</v>
      </c>
      <c r="O35" s="23">
        <f t="shared" ref="O35:O38" si="13">SUM(C35:N35)</f>
        <v>8300</v>
      </c>
    </row>
    <row r="36" spans="2:15" ht="15" customHeight="1" x14ac:dyDescent="0.25">
      <c r="B36" s="41" t="s">
        <v>63</v>
      </c>
      <c r="C36" s="21">
        <f>SUMIFS(Donnees!$I$6:$I$1000000,Donnees!$K$6:$K$1000000,"01",Donnees!$F$6:$F$1000000,"OTD")-SUMIFS(Donnees!$J$6:$J$1000000,Donnees!$K$6:$K$1000000,"01",Donnees!$F$6:$F$1000000,"OTD")</f>
        <v>0</v>
      </c>
      <c r="D36" s="21">
        <f>SUMIFS(Donnees!$I$6:$I$1000000,Donnees!$K$6:$K$1000000,"02",Donnees!$F$6:$F$1000000,"OTD")-SUMIFS(Donnees!$J$6:$J$1000000,Donnees!$K$6:$K$1000000,"02",Donnees!$F$6:$F$1000000,"OTD")</f>
        <v>0</v>
      </c>
      <c r="E36" s="21">
        <f>SUMIFS(Donnees!$I$6:$I$1000000,Donnees!$K$6:$K$1000000,"03",Donnees!$F$6:$F$1000000,"OTD")-SUMIFS(Donnees!$J$6:$J$1000000,Donnees!$K$6:$K$1000000,"03",Donnees!$F$6:$F$1000000,"OTD")</f>
        <v>0</v>
      </c>
      <c r="F36" s="21">
        <f>SUMIFS(Donnees!$I$6:$I$1000000,Donnees!$K$6:$K$1000000,"04",Donnees!$F$6:$F$1000000,"OTD")-SUMIFS(Donnees!$J$6:$J$1000000,Donnees!$K$6:$K$1000000,"04",Donnees!$F$6:$F$1000000,"OTD")</f>
        <v>0</v>
      </c>
      <c r="G36" s="21">
        <f>SUMIFS(Donnees!$I$6:$I$1000000,Donnees!$K$6:$K$1000000,"05",Donnees!$F$6:$F$1000000,"OTD")-SUMIFS(Donnees!$J$6:$J$1000000,Donnees!$K$6:$K$1000000,"05",Donnees!$F$6:$F$1000000,"OTD")</f>
        <v>0</v>
      </c>
      <c r="H36" s="21">
        <f>SUMIFS(Donnees!$I$6:$I$1000000,Donnees!$K$6:$K$1000000,"06",Donnees!$F$6:$F$1000000,"OTD")-SUMIFS(Donnees!$J$6:$J$1000000,Donnees!$K$6:$K$1000000,"06",Donnees!$F$6:$F$1000000,"OTD")</f>
        <v>50000</v>
      </c>
      <c r="I36" s="21">
        <f>SUMIFS(Donnees!$I$6:$I$1000000,Donnees!$K$6:$K$1000000,"07",Donnees!$F$6:$F$1000000,"OTD")-SUMIFS(Donnees!$J$6:$J$1000000,Donnees!$K$6:$K$1000000,"07",Donnees!$F$6:$F$1000000,"OTD")</f>
        <v>0</v>
      </c>
      <c r="J36" s="21">
        <f>SUMIFS(Donnees!$I$6:$I$1000000,Donnees!$K$6:$K$1000000,"08",Donnees!$F$6:$F$1000000,"OTD")-SUMIFS(Donnees!$J$6:$J$1000000,Donnees!$K$6:$K$1000000,"08",Donnees!$F$6:$F$1000000,"OTD")</f>
        <v>0</v>
      </c>
      <c r="K36" s="21">
        <f>SUMIFS(Donnees!$I$6:$I$1000000,Donnees!$K$6:$K$1000000,"09",Donnees!$F$6:$F$1000000,"OTD")-SUMIFS(Donnees!$J$6:$J$1000000,Donnees!$K$6:$K$1000000,"09",Donnees!$F$6:$F$1000000,"OTD")</f>
        <v>0</v>
      </c>
      <c r="L36" s="21">
        <f>SUMIFS(Donnees!$I$6:$I$1000000,Donnees!$K$6:$K$1000000,"10",Donnees!$F$6:$F$1000000,"OTD")-SUMIFS(Donnees!$J$6:$J$1000000,Donnees!$K$6:$K$1000000,"10",Donnees!$F$6:$F$1000000,"OTD")</f>
        <v>0</v>
      </c>
      <c r="M36" s="21">
        <f>SUMIFS(Donnees!$I$6:$I$1000000,Donnees!$K$6:$K$1000000,"11",Donnees!$F$6:$F$1000000,"OTD")-SUMIFS(Donnees!$J$6:$J$1000000,Donnees!$K$6:$K$1000000,"11",Donnees!$F$6:$F$1000000,"OTD")</f>
        <v>50000</v>
      </c>
      <c r="N36" s="21">
        <f>SUMIFS(Donnees!$I$6:$I$1000000,Donnees!$K$6:$K$1000000,"12",Donnees!$F$6:$F$1000000,"OTD")-SUMIFS(Donnees!$J$6:$J$1000000,Donnees!$K$6:$K$1000000,"12",Donnees!$F$6:$F$1000000,"OTD")</f>
        <v>0</v>
      </c>
      <c r="O36" s="23">
        <f t="shared" si="13"/>
        <v>100000</v>
      </c>
    </row>
    <row r="37" spans="2:15" ht="15" customHeight="1" thickBot="1" x14ac:dyDescent="0.3">
      <c r="B37" s="41" t="s">
        <v>68</v>
      </c>
      <c r="C37" s="21">
        <f>SUMIFS(Donnees!$I$6:$I$1000000,Donnees!$K$6:$K$1000000,"01",Donnees!$F$6:$F$1000000,"ATD")-SUMIFS(Donnees!$J$6:$J$1000000,Donnees!$K$6:$K$1000000,"01",Donnees!$F$6:$F$1000000,"ATD")</f>
        <v>0</v>
      </c>
      <c r="D37" s="21">
        <f>SUMIFS(Donnees!$I$6:$I$1000000,Donnees!$K$6:$K$1000000,"02",Donnees!$F$6:$F$1000000,"ATD")-SUMIFS(Donnees!$J$6:$J$1000000,Donnees!$K$6:$K$1000000,"02",Donnees!$F$6:$F$1000000,"ATD")</f>
        <v>0</v>
      </c>
      <c r="E37" s="21">
        <f>SUMIFS(Donnees!$I$6:$I$1000000,Donnees!$K$6:$K$1000000,"03",Donnees!$F$6:$F$1000000,"ATD")-SUMIFS(Donnees!$J$6:$J$1000000,Donnees!$K$6:$K$1000000,"03",Donnees!$F$6:$F$1000000,"ATD")</f>
        <v>0</v>
      </c>
      <c r="F37" s="21">
        <f>SUMIFS(Donnees!$I$6:$I$1000000,Donnees!$K$6:$K$1000000,"04",Donnees!$F$6:$F$1000000,"ATD")-SUMIFS(Donnees!$J$6:$J$1000000,Donnees!$K$6:$K$1000000,"04",Donnees!$F$6:$F$1000000,"ATD")</f>
        <v>0</v>
      </c>
      <c r="G37" s="21">
        <f>SUMIFS(Donnees!$I$6:$I$1000000,Donnees!$K$6:$K$1000000,"05",Donnees!$F$6:$F$1000000,"ATD")-SUMIFS(Donnees!$J$6:$J$1000000,Donnees!$K$6:$K$1000000,"05",Donnees!$F$6:$F$1000000,"ATD")</f>
        <v>0</v>
      </c>
      <c r="H37" s="21">
        <f>SUMIFS(Donnees!$I$6:$I$1000000,Donnees!$K$6:$K$1000000,"06",Donnees!$F$6:$F$1000000,"ATD")-SUMIFS(Donnees!$J$6:$J$1000000,Donnees!$K$6:$K$1000000,"06",Donnees!$F$6:$F$1000000,"ATD")</f>
        <v>11000</v>
      </c>
      <c r="I37" s="21">
        <f>SUMIFS(Donnees!$I$6:$I$1000000,Donnees!$K$6:$K$1000000,"07",Donnees!$F$6:$F$1000000,"ATD")-SUMIFS(Donnees!$J$6:$J$1000000,Donnees!$K$6:$K$1000000,"07",Donnees!$F$6:$F$1000000,"ATD")</f>
        <v>0</v>
      </c>
      <c r="J37" s="21">
        <f>SUMIFS(Donnees!$I$6:$I$1000000,Donnees!$K$6:$K$1000000,"08",Donnees!$F$6:$F$1000000,"ATD")-SUMIFS(Donnees!$J$6:$J$1000000,Donnees!$K$6:$K$1000000,"08",Donnees!$F$6:$F$1000000,"ATD")</f>
        <v>0</v>
      </c>
      <c r="K37" s="21">
        <f>SUMIFS(Donnees!$I$6:$I$1000000,Donnees!$K$6:$K$1000000,"09",Donnees!$F$6:$F$1000000,"ATD")-SUMIFS(Donnees!$J$6:$J$1000000,Donnees!$K$6:$K$1000000,"09",Donnees!$F$6:$F$1000000,"ATD")</f>
        <v>0</v>
      </c>
      <c r="L37" s="21">
        <f>SUMIFS(Donnees!$I$6:$I$1000000,Donnees!$K$6:$K$1000000,"10",Donnees!$F$6:$F$1000000,"ATD")-SUMIFS(Donnees!$J$6:$J$1000000,Donnees!$K$6:$K$1000000,"10",Donnees!$F$6:$F$1000000,"ATD")</f>
        <v>0</v>
      </c>
      <c r="M37" s="21">
        <f>SUMIFS(Donnees!$I$6:$I$1000000,Donnees!$K$6:$K$1000000,"11",Donnees!$F$6:$F$1000000,"ATD")-SUMIFS(Donnees!$J$6:$J$1000000,Donnees!$K$6:$K$1000000,"11",Donnees!$F$6:$F$1000000,"ATD")</f>
        <v>0</v>
      </c>
      <c r="N37" s="21">
        <f>SUMIFS(Donnees!$I$6:$I$1000000,Donnees!$K$6:$K$1000000,"12",Donnees!$F$6:$F$1000000,"ATD")-SUMIFS(Donnees!$J$6:$J$1000000,Donnees!$K$6:$K$1000000,"12",Donnees!$F$6:$F$1000000,"ATD")</f>
        <v>0</v>
      </c>
      <c r="O37" s="23">
        <f t="shared" ref="O37" si="14">SUM(C37:N37)</f>
        <v>11000</v>
      </c>
    </row>
    <row r="38" spans="2:15" ht="15" customHeight="1" thickBot="1" x14ac:dyDescent="0.3">
      <c r="B38" s="17" t="s">
        <v>66</v>
      </c>
      <c r="C38" s="18">
        <f>SUMIFS(Donnees!$I$6:$I$1000000,Donnees!$K$6:$K$1000000,"01",Donnees!$F$6:$F$1000000,"CTD")-SUMIFS(Donnees!$J$6:$J$1000000,Donnees!$K$6:$K$1000000,"01",Donnees!$F$6:$F$1000000,"CTD")
+SUMIFS(Donnees!$I$6:$I$1000000,Donnees!$K$6:$K$1000000,"01",Donnees!$F$6:$F$1000000,"DECNR")-SUMIFS(Donnees!$J$6:$J$1000000,Donnees!$K$6:$K$1000000,"01",Donnees!$F$6:$F$1000000,"DECNR")</f>
        <v>0</v>
      </c>
      <c r="D38" s="19">
        <f>SUMIFS(Donnees!$I$6:$I$1000000,Donnees!$K$6:$K$1000000,"02",Donnees!$F$6:$F$1000000,"CTD")-SUMIFS(Donnees!$J$6:$J$1000000,Donnees!$K$6:$K$1000000,"02",Donnees!$F$6:$F$1000000,"CTD")
+SUMIFS(Donnees!$I$6:$I$1000000,Donnees!$K$6:$K$1000000,"02",Donnees!$F$6:$F$1000000,"DECNR")-SUMIFS(Donnees!$J$6:$J$1000000,Donnees!$K$6:$K$1000000,"02",Donnees!$F$6:$F$1000000,"DECNR")</f>
        <v>0</v>
      </c>
      <c r="E38" s="19">
        <f>SUMIFS(Donnees!$I$6:$I$1000000,Donnees!$K$6:$K$1000000,"03",Donnees!$F$6:$F$1000000,"CTD")-SUMIFS(Donnees!$J$6:$J$1000000,Donnees!$K$6:$K$1000000,"03",Donnees!$F$6:$F$1000000,"CTD")
+SUMIFS(Donnees!$I$6:$I$1000000,Donnees!$K$6:$K$1000000,"03",Donnees!$F$6:$F$1000000,"DECNR")-SUMIFS(Donnees!$J$6:$J$1000000,Donnees!$K$6:$K$1000000,"03",Donnees!$F$6:$F$1000000,"DECNR")</f>
        <v>0</v>
      </c>
      <c r="F38" s="19">
        <f>SUMIFS(Donnees!$I$6:$I$1000000,Donnees!$K$6:$K$1000000,"04",Donnees!$F$6:$F$1000000,"CTD")-SUMIFS(Donnees!$J$6:$J$1000000,Donnees!$K$6:$K$1000000,"04",Donnees!$F$6:$F$1000000,"CTD")
+SUMIFS(Donnees!$I$6:$I$1000000,Donnees!$K$6:$K$1000000,"04",Donnees!$F$6:$F$1000000,"DECNR")-SUMIFS(Donnees!$J$6:$J$1000000,Donnees!$K$6:$K$1000000,"04",Donnees!$F$6:$F$1000000,"DECNR")</f>
        <v>0</v>
      </c>
      <c r="G38" s="19">
        <f>SUMIFS(Donnees!$I$6:$I$1000000,Donnees!$K$6:$K$1000000,"05",Donnees!$F$6:$F$1000000,"CTD")-SUMIFS(Donnees!$J$6:$J$1000000,Donnees!$K$6:$K$1000000,"05",Donnees!$F$6:$F$1000000,"CTD")
+SUMIFS(Donnees!$I$6:$I$1000000,Donnees!$K$6:$K$1000000,"05",Donnees!$F$6:$F$1000000,"DECNR")-SUMIFS(Donnees!$J$6:$J$1000000,Donnees!$K$6:$K$1000000,"05",Donnees!$F$6:$F$1000000,"DECNR")</f>
        <v>8000</v>
      </c>
      <c r="H38" s="19">
        <f>SUMIFS(Donnees!$I$6:$I$1000000,Donnees!$K$6:$K$1000000,"06",Donnees!$F$6:$F$1000000,"CTD")-SUMIFS(Donnees!$J$6:$J$1000000,Donnees!$K$6:$K$1000000,"06",Donnees!$F$6:$F$1000000,"CTD")
+SUMIFS(Donnees!$I$6:$I$1000000,Donnees!$K$6:$K$1000000,"06",Donnees!$F$6:$F$1000000,"DECNR")-SUMIFS(Donnees!$J$6:$J$1000000,Donnees!$K$6:$K$1000000,"06",Donnees!$F$6:$F$1000000,"DECNR")</f>
        <v>0</v>
      </c>
      <c r="I38" s="19">
        <f>SUMIFS(Donnees!$I$6:$I$1000000,Donnees!$K$6:$K$1000000,"07",Donnees!$F$6:$F$1000000,"CTD")-SUMIFS(Donnees!$J$6:$J$1000000,Donnees!$K$6:$K$1000000,"07",Donnees!$F$6:$F$1000000,"CTD")
+SUMIFS(Donnees!$I$6:$I$1000000,Donnees!$K$6:$K$1000000,"07",Donnees!$F$6:$F$1000000,"DECNR")-SUMIFS(Donnees!$J$6:$J$1000000,Donnees!$K$6:$K$1000000,"07",Donnees!$F$6:$F$1000000,"DECNR")</f>
        <v>0</v>
      </c>
      <c r="J38" s="19">
        <f>SUMIFS(Donnees!$I$6:$I$1000000,Donnees!$K$6:$K$1000000,"08",Donnees!$F$6:$F$1000000,"CTD")-SUMIFS(Donnees!$J$6:$J$1000000,Donnees!$K$6:$K$1000000,"08",Donnees!$F$6:$F$1000000,"CTD")
+SUMIFS(Donnees!$I$6:$I$1000000,Donnees!$K$6:$K$1000000,"08",Donnees!$F$6:$F$1000000,"DECNR")-SUMIFS(Donnees!$J$6:$J$1000000,Donnees!$K$6:$K$1000000,"08",Donnees!$F$6:$F$1000000,"DECNR")</f>
        <v>12300</v>
      </c>
      <c r="K38" s="19">
        <f>SUMIFS(Donnees!$I$6:$I$1000000,Donnees!$K$6:$K$1000000,"09",Donnees!$F$6:$F$1000000,"CTD")-SUMIFS(Donnees!$J$6:$J$1000000,Donnees!$K$6:$K$1000000,"09",Donnees!$F$6:$F$1000000,"CTD")
+SUMIFS(Donnees!$I$6:$I$1000000,Donnees!$K$6:$K$1000000,"09",Donnees!$F$6:$F$1000000,"DECNR")-SUMIFS(Donnees!$J$6:$J$1000000,Donnees!$K$6:$K$1000000,"09",Donnees!$F$6:$F$1000000,"DECNR")</f>
        <v>0</v>
      </c>
      <c r="L38" s="19">
        <f>SUMIFS(Donnees!$I$6:$I$1000000,Donnees!$K$6:$K$1000000,"10",Donnees!$F$6:$F$1000000,"CTD")-SUMIFS(Donnees!$J$6:$J$1000000,Donnees!$K$6:$K$1000000,"10",Donnees!$F$6:$F$1000000,"CTD")
+SUMIFS(Donnees!$I$6:$I$1000000,Donnees!$K$6:$K$1000000,"10",Donnees!$F$6:$F$1000000,"DECNR")-SUMIFS(Donnees!$J$6:$J$1000000,Donnees!$K$6:$K$1000000,"10",Donnees!$F$6:$F$1000000,"DECNR")</f>
        <v>0</v>
      </c>
      <c r="M38" s="19">
        <f>SUMIFS(Donnees!$I$6:$I$1000000,Donnees!$K$6:$K$1000000,"11",Donnees!$F$6:$F$1000000,"CTD")-SUMIFS(Donnees!$J$6:$J$1000000,Donnees!$K$6:$K$1000000,"11",Donnees!$F$6:$F$1000000,"CTD")
+SUMIFS(Donnees!$I$6:$I$1000000,Donnees!$K$6:$K$1000000,"11",Donnees!$F$6:$F$1000000,"DECNR")-SUMIFS(Donnees!$J$6:$J$1000000,Donnees!$K$6:$K$1000000,"11",Donnees!$F$6:$F$1000000,"DECNR")</f>
        <v>0</v>
      </c>
      <c r="N38" s="19">
        <f>SUMIFS(Donnees!$I$6:$I$1000000,Donnees!$K$6:$K$1000000,"12",Donnees!$F$6:$F$1000000,"CTD")-SUMIFS(Donnees!$J$6:$J$1000000,Donnees!$K$6:$K$1000000,"12",Donnees!$F$6:$F$1000000,"CTD")
+SUMIFS(Donnees!$I$6:$I$1000000,Donnees!$K$6:$K$1000000,"12",Donnees!$F$6:$F$1000000,"DECNR")-SUMIFS(Donnees!$J$6:$J$1000000,Donnees!$K$6:$K$1000000,"12",Donnees!$F$6:$F$1000000,"DECNR")</f>
        <v>15000</v>
      </c>
      <c r="O38" s="24">
        <f t="shared" si="13"/>
        <v>35300</v>
      </c>
    </row>
    <row r="39" spans="2:15" ht="15" customHeight="1" thickBot="1" x14ac:dyDescent="0.3">
      <c r="B39" s="31" t="s">
        <v>21</v>
      </c>
      <c r="C39" s="18">
        <f t="shared" ref="C39:O39" si="15">+C27+C31+C34+C38</f>
        <v>7816000</v>
      </c>
      <c r="D39" s="18">
        <f t="shared" si="15"/>
        <v>3960000</v>
      </c>
      <c r="E39" s="18">
        <f t="shared" si="15"/>
        <v>3447000</v>
      </c>
      <c r="F39" s="18">
        <f t="shared" si="15"/>
        <v>1368000</v>
      </c>
      <c r="G39" s="18">
        <f t="shared" si="15"/>
        <v>4732000</v>
      </c>
      <c r="H39" s="18">
        <f t="shared" si="15"/>
        <v>4095690</v>
      </c>
      <c r="I39" s="18">
        <f t="shared" si="15"/>
        <v>6503740</v>
      </c>
      <c r="J39" s="18">
        <f t="shared" si="15"/>
        <v>3868600</v>
      </c>
      <c r="K39" s="18">
        <f t="shared" si="15"/>
        <v>776000</v>
      </c>
      <c r="L39" s="18">
        <f t="shared" si="15"/>
        <v>10752000</v>
      </c>
      <c r="M39" s="18">
        <f t="shared" si="15"/>
        <v>7190000</v>
      </c>
      <c r="N39" s="18">
        <f t="shared" si="15"/>
        <v>5391000</v>
      </c>
      <c r="O39" s="18">
        <f t="shared" si="15"/>
        <v>59900030</v>
      </c>
    </row>
    <row r="40" spans="2:15" ht="15" customHeight="1" thickBot="1" x14ac:dyDescent="0.3">
      <c r="B40" s="32" t="s">
        <v>18</v>
      </c>
      <c r="C40" s="14">
        <f t="shared" ref="C40:O40" si="16">C25-C39</f>
        <v>16096000</v>
      </c>
      <c r="D40" s="14">
        <f t="shared" si="16"/>
        <v>-3960000</v>
      </c>
      <c r="E40" s="14">
        <f t="shared" si="16"/>
        <v>-2058000</v>
      </c>
      <c r="F40" s="14">
        <f t="shared" si="16"/>
        <v>20836000</v>
      </c>
      <c r="G40" s="14">
        <f t="shared" si="16"/>
        <v>-3788000</v>
      </c>
      <c r="H40" s="14">
        <f t="shared" si="16"/>
        <v>-3384690</v>
      </c>
      <c r="I40" s="14">
        <f t="shared" si="16"/>
        <v>15910260</v>
      </c>
      <c r="J40" s="14">
        <f t="shared" si="16"/>
        <v>-3277600</v>
      </c>
      <c r="K40" s="14">
        <f t="shared" si="16"/>
        <v>-482000</v>
      </c>
      <c r="L40" s="14">
        <f t="shared" si="16"/>
        <v>2226000</v>
      </c>
      <c r="M40" s="14">
        <f t="shared" si="16"/>
        <v>5260000</v>
      </c>
      <c r="N40" s="14">
        <f t="shared" si="16"/>
        <v>8951000</v>
      </c>
      <c r="O40" s="33">
        <f t="shared" si="16"/>
        <v>52328970</v>
      </c>
    </row>
    <row r="41" spans="2:15" ht="15" customHeight="1" thickBot="1" x14ac:dyDescent="0.3">
      <c r="B41" s="34" t="s">
        <v>19</v>
      </c>
      <c r="C41" s="35">
        <f t="shared" ref="C41:N41" si="17">+C40+C9</f>
        <v>18688000</v>
      </c>
      <c r="D41" s="36">
        <f t="shared" si="17"/>
        <v>14728000</v>
      </c>
      <c r="E41" s="36">
        <f t="shared" si="17"/>
        <v>12670000</v>
      </c>
      <c r="F41" s="36">
        <f t="shared" si="17"/>
        <v>33506000</v>
      </c>
      <c r="G41" s="36">
        <f t="shared" si="17"/>
        <v>29718000</v>
      </c>
      <c r="H41" s="36">
        <f t="shared" si="17"/>
        <v>26333310</v>
      </c>
      <c r="I41" s="36">
        <f t="shared" si="17"/>
        <v>42243570</v>
      </c>
      <c r="J41" s="36">
        <f t="shared" si="17"/>
        <v>38965970</v>
      </c>
      <c r="K41" s="36">
        <f t="shared" si="17"/>
        <v>38483970</v>
      </c>
      <c r="L41" s="36">
        <f t="shared" si="17"/>
        <v>40709970</v>
      </c>
      <c r="M41" s="36">
        <f t="shared" si="17"/>
        <v>45969970</v>
      </c>
      <c r="N41" s="36">
        <f t="shared" si="17"/>
        <v>54920970</v>
      </c>
      <c r="O41" s="37"/>
    </row>
  </sheetData>
  <mergeCells count="6">
    <mergeCell ref="B1:M1"/>
    <mergeCell ref="B7:O7"/>
    <mergeCell ref="B2:O2"/>
    <mergeCell ref="B4:O4"/>
    <mergeCell ref="B6:O6"/>
    <mergeCell ref="B5:O5"/>
  </mergeCells>
  <pageMargins left="0.7" right="0.7" top="0.75" bottom="0.75" header="0.3" footer="0.3"/>
  <pageSetup paperSize="9" scale="27" orientation="portrait" r:id="rId1"/>
  <ignoredErrors>
    <ignoredError sqref="O31 O16 O20 O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4"/>
  <sheetViews>
    <sheetView workbookViewId="0"/>
  </sheetViews>
  <sheetFormatPr baseColWidth="10" defaultRowHeight="15" x14ac:dyDescent="0.25"/>
  <cols>
    <col min="1" max="1" width="14.5703125" bestFit="1" customWidth="1"/>
    <col min="2" max="2" width="19.28515625" bestFit="1" customWidth="1"/>
    <col min="4" max="4" width="19.5703125" bestFit="1" customWidth="1"/>
    <col min="9" max="9" width="13.7109375" bestFit="1" customWidth="1"/>
    <col min="10" max="10" width="14.140625" bestFit="1" customWidth="1"/>
    <col min="11" max="13" width="0" hidden="1" customWidth="1"/>
    <col min="14" max="14" width="13.5703125" hidden="1" customWidth="1"/>
    <col min="15" max="15" width="11.42578125" hidden="1" customWidth="1"/>
    <col min="16" max="16" width="18.5703125" hidden="1" customWidth="1"/>
    <col min="17" max="25" width="11.42578125" hidden="1" customWidth="1"/>
  </cols>
  <sheetData>
    <row r="1" spans="1:25" x14ac:dyDescent="0.25">
      <c r="A1" t="s">
        <v>42</v>
      </c>
      <c r="B1" t="str">
        <f>N6</f>
        <v>IND</v>
      </c>
      <c r="C1" t="str">
        <f>O6</f>
        <v>Qualiac développement</v>
      </c>
      <c r="D1" t="s">
        <v>43</v>
      </c>
      <c r="E1" t="str">
        <f>P6</f>
        <v>2015</v>
      </c>
    </row>
    <row r="2" spans="1:25" s="1" customFormat="1" x14ac:dyDescent="0.25">
      <c r="A2" s="1" t="s">
        <v>44</v>
      </c>
      <c r="B2" t="str">
        <f>Q6</f>
        <v>CENTRE</v>
      </c>
      <c r="C2" t="str">
        <f>R6</f>
        <v>Centre</v>
      </c>
      <c r="D2" s="1" t="s">
        <v>45</v>
      </c>
      <c r="E2" t="str">
        <f>S6</f>
        <v>DAT</v>
      </c>
      <c r="F2"/>
    </row>
    <row r="3" spans="1:25" s="1" customFormat="1" x14ac:dyDescent="0.25">
      <c r="A3" s="1" t="s">
        <v>46</v>
      </c>
      <c r="B3" t="str">
        <f>T6</f>
        <v>CB</v>
      </c>
      <c r="C3" t="str">
        <f>U6</f>
        <v>Comptes budgétaires</v>
      </c>
      <c r="D3" s="1" t="s">
        <v>45</v>
      </c>
      <c r="E3" t="str">
        <f>V6</f>
        <v>CB1</v>
      </c>
      <c r="F3"/>
    </row>
    <row r="4" spans="1:25" s="1" customFormat="1" x14ac:dyDescent="0.25">
      <c r="A4" s="1" t="s">
        <v>47</v>
      </c>
      <c r="B4" t="str">
        <f>W6</f>
        <v>299068</v>
      </c>
      <c r="C4" s="1" t="s">
        <v>48</v>
      </c>
      <c r="D4" t="str">
        <f>X6</f>
        <v>PR</v>
      </c>
      <c r="E4" s="1" t="s">
        <v>49</v>
      </c>
      <c r="F4" t="str">
        <f>Y6</f>
        <v>01/12/2015</v>
      </c>
    </row>
    <row r="5" spans="1:25" s="1" customFormat="1" x14ac:dyDescent="0.25">
      <c r="A5" s="1" t="s">
        <v>22</v>
      </c>
      <c r="B5" s="1" t="s">
        <v>23</v>
      </c>
      <c r="C5" s="4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29</v>
      </c>
      <c r="I5" s="1" t="s">
        <v>30</v>
      </c>
      <c r="J5" s="1" t="s">
        <v>31</v>
      </c>
      <c r="K5" s="1" t="s">
        <v>32</v>
      </c>
      <c r="L5" s="1" t="s">
        <v>33</v>
      </c>
      <c r="M5" s="1" t="s">
        <v>34</v>
      </c>
      <c r="N5" s="1" t="s">
        <v>35</v>
      </c>
      <c r="O5" s="1" t="s">
        <v>36</v>
      </c>
      <c r="P5" s="1" t="s">
        <v>37</v>
      </c>
      <c r="Q5" s="1" t="s">
        <v>34</v>
      </c>
      <c r="R5" s="1" t="s">
        <v>36</v>
      </c>
      <c r="S5" s="1" t="s">
        <v>38</v>
      </c>
      <c r="T5" s="1" t="s">
        <v>24</v>
      </c>
      <c r="U5" s="1" t="s">
        <v>36</v>
      </c>
      <c r="V5" s="1" t="s">
        <v>38</v>
      </c>
      <c r="W5" s="1" t="s">
        <v>39</v>
      </c>
      <c r="X5" s="1" t="s">
        <v>40</v>
      </c>
      <c r="Y5" s="1" t="s">
        <v>41</v>
      </c>
    </row>
    <row r="6" spans="1:25" x14ac:dyDescent="0.25">
      <c r="A6" s="1" t="s">
        <v>69</v>
      </c>
      <c r="B6" s="1" t="s">
        <v>70</v>
      </c>
      <c r="C6" s="1" t="s">
        <v>96</v>
      </c>
      <c r="D6" s="1" t="s">
        <v>88</v>
      </c>
      <c r="E6" s="1" t="s">
        <v>97</v>
      </c>
      <c r="F6" s="1" t="s">
        <v>98</v>
      </c>
      <c r="G6" s="1" t="s">
        <v>96</v>
      </c>
      <c r="H6" s="1"/>
      <c r="I6" s="2">
        <v>0</v>
      </c>
      <c r="J6" s="2">
        <v>384000</v>
      </c>
      <c r="K6" s="2" t="s">
        <v>74</v>
      </c>
      <c r="L6" s="2"/>
      <c r="M6" s="2"/>
      <c r="N6" s="3" t="s">
        <v>75</v>
      </c>
      <c r="O6" s="3" t="s">
        <v>99</v>
      </c>
      <c r="P6" s="3" t="s">
        <v>100</v>
      </c>
      <c r="Q6" s="3" t="s">
        <v>76</v>
      </c>
      <c r="R6" s="3" t="s">
        <v>77</v>
      </c>
      <c r="S6" s="3" t="s">
        <v>78</v>
      </c>
      <c r="T6" s="3" t="s">
        <v>79</v>
      </c>
      <c r="U6" s="3" t="s">
        <v>80</v>
      </c>
      <c r="V6" s="3" t="s">
        <v>81</v>
      </c>
      <c r="W6" s="3" t="s">
        <v>101</v>
      </c>
      <c r="X6" s="3" t="s">
        <v>82</v>
      </c>
      <c r="Y6" t="s">
        <v>102</v>
      </c>
    </row>
    <row r="7" spans="1:25" x14ac:dyDescent="0.25">
      <c r="A7" s="1" t="s">
        <v>69</v>
      </c>
      <c r="B7" s="1" t="s">
        <v>70</v>
      </c>
      <c r="C7" s="1" t="s">
        <v>103</v>
      </c>
      <c r="D7" s="1" t="s">
        <v>88</v>
      </c>
      <c r="E7" s="1" t="s">
        <v>97</v>
      </c>
      <c r="F7" s="1" t="s">
        <v>104</v>
      </c>
      <c r="G7" s="1" t="s">
        <v>103</v>
      </c>
      <c r="H7" s="1"/>
      <c r="I7" s="2">
        <v>0</v>
      </c>
      <c r="J7" s="2">
        <v>192000</v>
      </c>
      <c r="K7" s="2" t="s">
        <v>74</v>
      </c>
      <c r="L7" s="2"/>
      <c r="M7" s="2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5" x14ac:dyDescent="0.25">
      <c r="A8" s="1" t="s">
        <v>69</v>
      </c>
      <c r="B8" s="1" t="s">
        <v>70</v>
      </c>
      <c r="C8" s="1" t="s">
        <v>105</v>
      </c>
      <c r="D8" s="1" t="s">
        <v>88</v>
      </c>
      <c r="E8" s="1" t="s">
        <v>97</v>
      </c>
      <c r="F8" s="1" t="s">
        <v>104</v>
      </c>
      <c r="G8" s="1" t="s">
        <v>105</v>
      </c>
      <c r="H8" s="1"/>
      <c r="I8" s="2">
        <v>0</v>
      </c>
      <c r="J8" s="2">
        <v>336000</v>
      </c>
      <c r="K8" s="2" t="s">
        <v>74</v>
      </c>
      <c r="L8" s="2"/>
      <c r="M8" s="2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5" x14ac:dyDescent="0.25">
      <c r="A9" s="1" t="s">
        <v>69</v>
      </c>
      <c r="B9" s="1" t="s">
        <v>70</v>
      </c>
      <c r="C9" s="1" t="s">
        <v>103</v>
      </c>
      <c r="D9" s="1" t="s">
        <v>88</v>
      </c>
      <c r="E9" s="1" t="s">
        <v>97</v>
      </c>
      <c r="F9" s="1" t="s">
        <v>104</v>
      </c>
      <c r="G9" s="1" t="s">
        <v>103</v>
      </c>
      <c r="H9" s="1"/>
      <c r="I9" s="2">
        <v>0</v>
      </c>
      <c r="J9" s="2">
        <v>192000</v>
      </c>
      <c r="K9" s="46" t="s">
        <v>106</v>
      </c>
      <c r="L9" s="2"/>
      <c r="M9" s="2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5" x14ac:dyDescent="0.25">
      <c r="A10" s="1" t="s">
        <v>69</v>
      </c>
      <c r="B10" s="1" t="s">
        <v>70</v>
      </c>
      <c r="C10" s="1" t="s">
        <v>105</v>
      </c>
      <c r="D10" s="1" t="s">
        <v>88</v>
      </c>
      <c r="E10" s="1" t="s">
        <v>97</v>
      </c>
      <c r="F10" s="1" t="s">
        <v>104</v>
      </c>
      <c r="G10" s="1" t="s">
        <v>105</v>
      </c>
      <c r="H10" s="1"/>
      <c r="I10" s="2">
        <v>0</v>
      </c>
      <c r="J10" s="2">
        <v>336000</v>
      </c>
      <c r="K10" s="46" t="s">
        <v>106</v>
      </c>
      <c r="L10" s="2"/>
      <c r="M10" s="2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5" x14ac:dyDescent="0.25">
      <c r="A11" s="1" t="s">
        <v>69</v>
      </c>
      <c r="B11" s="1" t="s">
        <v>70</v>
      </c>
      <c r="C11" s="1" t="s">
        <v>103</v>
      </c>
      <c r="D11" s="1" t="s">
        <v>88</v>
      </c>
      <c r="E11" s="1" t="s">
        <v>97</v>
      </c>
      <c r="F11" s="1" t="s">
        <v>104</v>
      </c>
      <c r="G11" s="1" t="s">
        <v>103</v>
      </c>
      <c r="H11" s="1"/>
      <c r="I11" s="2">
        <v>0</v>
      </c>
      <c r="J11" s="2">
        <v>502000</v>
      </c>
      <c r="K11" s="46" t="s">
        <v>107</v>
      </c>
      <c r="L11" s="2"/>
      <c r="M11" s="2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5" x14ac:dyDescent="0.25">
      <c r="A12" s="1" t="s">
        <v>69</v>
      </c>
      <c r="B12" s="1" t="s">
        <v>70</v>
      </c>
      <c r="C12" s="1" t="s">
        <v>105</v>
      </c>
      <c r="D12" s="1" t="s">
        <v>88</v>
      </c>
      <c r="E12" s="1" t="s">
        <v>97</v>
      </c>
      <c r="F12" s="1" t="s">
        <v>104</v>
      </c>
      <c r="G12" s="1" t="s">
        <v>105</v>
      </c>
      <c r="H12" s="1"/>
      <c r="I12" s="2">
        <v>0</v>
      </c>
      <c r="J12" s="2">
        <v>206000</v>
      </c>
      <c r="K12" s="46" t="s">
        <v>107</v>
      </c>
      <c r="L12" s="2"/>
      <c r="M12" s="2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5" x14ac:dyDescent="0.25">
      <c r="A13" s="1" t="s">
        <v>69</v>
      </c>
      <c r="B13" s="1" t="s">
        <v>70</v>
      </c>
      <c r="C13" s="1" t="s">
        <v>103</v>
      </c>
      <c r="D13" s="1" t="s">
        <v>88</v>
      </c>
      <c r="E13" s="1" t="s">
        <v>97</v>
      </c>
      <c r="F13" s="1" t="s">
        <v>104</v>
      </c>
      <c r="G13" s="1" t="s">
        <v>103</v>
      </c>
      <c r="H13" s="1"/>
      <c r="I13" s="2">
        <v>0</v>
      </c>
      <c r="J13" s="2">
        <v>112000</v>
      </c>
      <c r="K13" s="46" t="s">
        <v>108</v>
      </c>
      <c r="L13" s="2"/>
      <c r="M13" s="2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5" x14ac:dyDescent="0.25">
      <c r="A14" s="1" t="s">
        <v>69</v>
      </c>
      <c r="B14" s="1" t="s">
        <v>70</v>
      </c>
      <c r="C14" s="1" t="s">
        <v>105</v>
      </c>
      <c r="D14" s="1" t="s">
        <v>88</v>
      </c>
      <c r="E14" s="1" t="s">
        <v>97</v>
      </c>
      <c r="F14" s="1" t="s">
        <v>104</v>
      </c>
      <c r="G14" s="1" t="s">
        <v>105</v>
      </c>
      <c r="H14" s="1"/>
      <c r="I14" s="2">
        <v>0</v>
      </c>
      <c r="J14" s="2">
        <v>146000</v>
      </c>
      <c r="K14" s="46" t="s">
        <v>108</v>
      </c>
      <c r="L14" s="2"/>
      <c r="M14" s="2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5" x14ac:dyDescent="0.25">
      <c r="A15" s="1" t="s">
        <v>69</v>
      </c>
      <c r="B15" s="1" t="s">
        <v>70</v>
      </c>
      <c r="C15" s="1" t="s">
        <v>84</v>
      </c>
      <c r="D15" s="1" t="s">
        <v>72</v>
      </c>
      <c r="E15" s="1" t="s">
        <v>84</v>
      </c>
      <c r="F15" s="1"/>
      <c r="G15" s="1"/>
      <c r="H15" s="1"/>
      <c r="I15" s="2">
        <v>2592000</v>
      </c>
      <c r="J15" s="2">
        <v>0</v>
      </c>
      <c r="K15" s="2" t="s">
        <v>109</v>
      </c>
      <c r="L15" s="2"/>
      <c r="M15" s="2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5" x14ac:dyDescent="0.25">
      <c r="A16" s="1" t="s">
        <v>69</v>
      </c>
      <c r="B16" s="1" t="s">
        <v>70</v>
      </c>
      <c r="C16" s="1" t="s">
        <v>84</v>
      </c>
      <c r="D16" s="1" t="s">
        <v>72</v>
      </c>
      <c r="E16" s="1" t="s">
        <v>84</v>
      </c>
      <c r="F16" s="1"/>
      <c r="G16" s="1"/>
      <c r="H16" s="1"/>
      <c r="I16" s="2">
        <v>2592000</v>
      </c>
      <c r="J16" s="2">
        <v>0</v>
      </c>
      <c r="K16" s="2" t="s">
        <v>106</v>
      </c>
      <c r="L16" s="2"/>
      <c r="M16" s="2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25">
      <c r="A17" s="1" t="s">
        <v>69</v>
      </c>
      <c r="B17" s="1" t="s">
        <v>70</v>
      </c>
      <c r="C17" s="1" t="s">
        <v>84</v>
      </c>
      <c r="D17" s="1" t="s">
        <v>72</v>
      </c>
      <c r="E17" s="1" t="s">
        <v>84</v>
      </c>
      <c r="F17" s="1"/>
      <c r="G17" s="1"/>
      <c r="H17" s="1"/>
      <c r="I17" s="2">
        <v>2592000</v>
      </c>
      <c r="J17" s="2">
        <v>0</v>
      </c>
      <c r="K17" s="2" t="s">
        <v>110</v>
      </c>
      <c r="L17" s="2"/>
      <c r="M17" s="2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25">
      <c r="A18" s="1" t="s">
        <v>69</v>
      </c>
      <c r="B18" s="1" t="s">
        <v>70</v>
      </c>
      <c r="C18" s="1" t="s">
        <v>84</v>
      </c>
      <c r="D18" s="1" t="s">
        <v>72</v>
      </c>
      <c r="E18" s="1" t="s">
        <v>84</v>
      </c>
      <c r="F18" s="1"/>
      <c r="G18" s="1"/>
      <c r="H18" s="1"/>
      <c r="I18" s="2">
        <v>5184000</v>
      </c>
      <c r="J18" s="2">
        <v>0</v>
      </c>
      <c r="K18" s="2" t="s">
        <v>111</v>
      </c>
      <c r="L18" s="2"/>
      <c r="M18" s="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25">
      <c r="A19" s="1" t="s">
        <v>69</v>
      </c>
      <c r="B19" s="1" t="s">
        <v>70</v>
      </c>
      <c r="C19" s="1" t="s">
        <v>84</v>
      </c>
      <c r="D19" s="1" t="s">
        <v>72</v>
      </c>
      <c r="E19" s="1" t="s">
        <v>84</v>
      </c>
      <c r="F19" s="1"/>
      <c r="G19" s="1"/>
      <c r="H19" s="1"/>
      <c r="I19" s="2">
        <v>2592000</v>
      </c>
      <c r="J19" s="2">
        <v>0</v>
      </c>
      <c r="K19" s="2" t="s">
        <v>107</v>
      </c>
      <c r="L19" s="2"/>
      <c r="M19" s="2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25">
      <c r="A20" s="1" t="s">
        <v>69</v>
      </c>
      <c r="B20" s="1" t="s">
        <v>70</v>
      </c>
      <c r="C20" s="1" t="s">
        <v>84</v>
      </c>
      <c r="D20" s="1" t="s">
        <v>72</v>
      </c>
      <c r="E20" s="1" t="s">
        <v>84</v>
      </c>
      <c r="F20" s="1"/>
      <c r="G20" s="1"/>
      <c r="H20" s="1"/>
      <c r="I20" s="2">
        <v>5184000</v>
      </c>
      <c r="J20" s="2">
        <v>0</v>
      </c>
      <c r="K20" s="2" t="s">
        <v>112</v>
      </c>
      <c r="L20" s="2"/>
      <c r="M20" s="2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25">
      <c r="A21" s="1" t="s">
        <v>69</v>
      </c>
      <c r="B21" s="1" t="s">
        <v>70</v>
      </c>
      <c r="C21" s="1" t="s">
        <v>95</v>
      </c>
      <c r="D21" s="1" t="s">
        <v>72</v>
      </c>
      <c r="E21" s="1" t="s">
        <v>95</v>
      </c>
      <c r="F21" s="1"/>
      <c r="G21" s="1"/>
      <c r="H21" s="1"/>
      <c r="I21" s="2">
        <v>0</v>
      </c>
      <c r="J21" s="2">
        <v>2592000</v>
      </c>
      <c r="K21" s="2" t="s">
        <v>74</v>
      </c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25">
      <c r="A22" s="1" t="s">
        <v>69</v>
      </c>
      <c r="B22" s="1" t="s">
        <v>70</v>
      </c>
      <c r="C22" s="1" t="s">
        <v>113</v>
      </c>
      <c r="D22" s="1" t="s">
        <v>88</v>
      </c>
      <c r="E22" s="1" t="s">
        <v>97</v>
      </c>
      <c r="F22" s="1" t="s">
        <v>98</v>
      </c>
      <c r="G22" s="1" t="s">
        <v>113</v>
      </c>
      <c r="H22" s="1"/>
      <c r="I22" s="2">
        <v>0</v>
      </c>
      <c r="J22" s="2">
        <v>192000</v>
      </c>
      <c r="K22" s="2" t="s">
        <v>74</v>
      </c>
      <c r="L22" s="2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25">
      <c r="A23" s="1" t="s">
        <v>69</v>
      </c>
      <c r="B23" s="1" t="s">
        <v>70</v>
      </c>
      <c r="C23" s="1" t="s">
        <v>114</v>
      </c>
      <c r="D23" s="1" t="s">
        <v>88</v>
      </c>
      <c r="E23" s="1" t="s">
        <v>97</v>
      </c>
      <c r="F23" s="1" t="s">
        <v>115</v>
      </c>
      <c r="G23" s="1" t="s">
        <v>114</v>
      </c>
      <c r="H23" s="1"/>
      <c r="I23" s="2">
        <v>0</v>
      </c>
      <c r="J23" s="2">
        <v>672000</v>
      </c>
      <c r="K23" s="2" t="s">
        <v>74</v>
      </c>
      <c r="L23" s="2"/>
      <c r="M23" s="2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A24" s="1" t="s">
        <v>69</v>
      </c>
      <c r="B24" s="1" t="s">
        <v>70</v>
      </c>
      <c r="C24" s="1" t="s">
        <v>113</v>
      </c>
      <c r="D24" s="1" t="s">
        <v>88</v>
      </c>
      <c r="E24" s="1" t="s">
        <v>97</v>
      </c>
      <c r="F24" s="1" t="s">
        <v>98</v>
      </c>
      <c r="G24" s="1" t="s">
        <v>113</v>
      </c>
      <c r="H24" s="1"/>
      <c r="I24" s="2">
        <v>0</v>
      </c>
      <c r="J24" s="2">
        <v>302000</v>
      </c>
      <c r="K24" s="46" t="s">
        <v>110</v>
      </c>
      <c r="L24" s="2"/>
      <c r="M24" s="2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5">
      <c r="A25" s="1" t="s">
        <v>69</v>
      </c>
      <c r="B25" s="1" t="s">
        <v>70</v>
      </c>
      <c r="C25" s="1" t="s">
        <v>114</v>
      </c>
      <c r="D25" s="1" t="s">
        <v>88</v>
      </c>
      <c r="E25" s="1" t="s">
        <v>97</v>
      </c>
      <c r="F25" s="1" t="s">
        <v>115</v>
      </c>
      <c r="G25" s="1" t="s">
        <v>114</v>
      </c>
      <c r="H25" s="1"/>
      <c r="I25" s="2">
        <v>0</v>
      </c>
      <c r="J25" s="2">
        <v>102000</v>
      </c>
      <c r="K25" s="46" t="s">
        <v>110</v>
      </c>
      <c r="L25" s="2"/>
      <c r="M25" s="2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s="1" t="s">
        <v>69</v>
      </c>
      <c r="B26" s="1" t="s">
        <v>70</v>
      </c>
      <c r="C26" s="1" t="s">
        <v>113</v>
      </c>
      <c r="D26" s="1" t="s">
        <v>88</v>
      </c>
      <c r="E26" s="1" t="s">
        <v>97</v>
      </c>
      <c r="F26" s="1" t="s">
        <v>98</v>
      </c>
      <c r="G26" s="1" t="s">
        <v>113</v>
      </c>
      <c r="H26" s="1"/>
      <c r="I26" s="2">
        <v>0</v>
      </c>
      <c r="J26" s="2">
        <v>512000</v>
      </c>
      <c r="K26" s="46" t="s">
        <v>112</v>
      </c>
      <c r="L26" s="2"/>
      <c r="M26" s="2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25">
      <c r="A27" s="1" t="s">
        <v>69</v>
      </c>
      <c r="B27" s="1" t="s">
        <v>70</v>
      </c>
      <c r="C27" s="1" t="s">
        <v>114</v>
      </c>
      <c r="D27" s="1" t="s">
        <v>88</v>
      </c>
      <c r="E27" s="1" t="s">
        <v>97</v>
      </c>
      <c r="F27" s="1" t="s">
        <v>115</v>
      </c>
      <c r="G27" s="1" t="s">
        <v>114</v>
      </c>
      <c r="H27" s="1"/>
      <c r="I27" s="2">
        <v>0</v>
      </c>
      <c r="J27" s="2">
        <v>102000</v>
      </c>
      <c r="K27" s="46" t="s">
        <v>112</v>
      </c>
      <c r="L27" s="2"/>
      <c r="M27" s="2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5">
      <c r="A28" s="1" t="s">
        <v>69</v>
      </c>
      <c r="B28" s="1" t="s">
        <v>70</v>
      </c>
      <c r="C28" s="1" t="s">
        <v>87</v>
      </c>
      <c r="D28" s="1" t="s">
        <v>88</v>
      </c>
      <c r="E28" s="1" t="s">
        <v>89</v>
      </c>
      <c r="F28" s="1" t="s">
        <v>87</v>
      </c>
      <c r="G28" s="1"/>
      <c r="H28" s="1"/>
      <c r="I28" s="2">
        <v>1552000</v>
      </c>
      <c r="J28" s="2">
        <v>0</v>
      </c>
      <c r="K28" s="2" t="s">
        <v>74</v>
      </c>
      <c r="L28" s="2"/>
      <c r="M28" s="2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A29" s="1" t="s">
        <v>69</v>
      </c>
      <c r="B29" s="1" t="s">
        <v>70</v>
      </c>
      <c r="C29" s="1" t="s">
        <v>87</v>
      </c>
      <c r="D29" s="1" t="s">
        <v>88</v>
      </c>
      <c r="E29" s="1" t="s">
        <v>89</v>
      </c>
      <c r="F29" s="1" t="s">
        <v>87</v>
      </c>
      <c r="G29" s="1"/>
      <c r="H29" s="1"/>
      <c r="I29" s="2">
        <v>1368000</v>
      </c>
      <c r="J29" s="2">
        <v>0</v>
      </c>
      <c r="K29" s="2" t="s">
        <v>109</v>
      </c>
      <c r="L29" s="2"/>
      <c r="M29" s="2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5">
      <c r="A30" s="1" t="s">
        <v>69</v>
      </c>
      <c r="B30" s="1" t="s">
        <v>70</v>
      </c>
      <c r="C30" s="1" t="s">
        <v>87</v>
      </c>
      <c r="D30" s="1" t="s">
        <v>88</v>
      </c>
      <c r="E30" s="1" t="s">
        <v>89</v>
      </c>
      <c r="F30" s="1" t="s">
        <v>87</v>
      </c>
      <c r="G30" s="1"/>
      <c r="H30" s="1"/>
      <c r="I30" s="2">
        <v>776000</v>
      </c>
      <c r="J30" s="2">
        <v>0</v>
      </c>
      <c r="K30" s="2" t="s">
        <v>106</v>
      </c>
      <c r="L30" s="2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25">
      <c r="A31" s="1" t="s">
        <v>69</v>
      </c>
      <c r="B31" s="1" t="s">
        <v>70</v>
      </c>
      <c r="C31" s="1" t="s">
        <v>87</v>
      </c>
      <c r="D31" s="1" t="s">
        <v>88</v>
      </c>
      <c r="E31" s="1" t="s">
        <v>89</v>
      </c>
      <c r="F31" s="1" t="s">
        <v>87</v>
      </c>
      <c r="G31" s="1"/>
      <c r="H31" s="1"/>
      <c r="I31" s="2">
        <v>1368000</v>
      </c>
      <c r="J31" s="2">
        <v>0</v>
      </c>
      <c r="K31" s="2" t="s">
        <v>110</v>
      </c>
      <c r="L31" s="2"/>
      <c r="M31" s="2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5">
      <c r="A32" s="1" t="s">
        <v>69</v>
      </c>
      <c r="B32" s="1" t="s">
        <v>70</v>
      </c>
      <c r="C32" s="1" t="s">
        <v>87</v>
      </c>
      <c r="D32" s="1" t="s">
        <v>88</v>
      </c>
      <c r="E32" s="1" t="s">
        <v>89</v>
      </c>
      <c r="F32" s="1" t="s">
        <v>87</v>
      </c>
      <c r="G32" s="1"/>
      <c r="H32" s="1"/>
      <c r="I32" s="2">
        <v>1552000</v>
      </c>
      <c r="J32" s="2">
        <v>0</v>
      </c>
      <c r="K32" s="2" t="s">
        <v>111</v>
      </c>
      <c r="L32" s="2"/>
      <c r="M32" s="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25">
      <c r="A33" s="1" t="s">
        <v>69</v>
      </c>
      <c r="B33" s="1" t="s">
        <v>70</v>
      </c>
      <c r="C33" s="1" t="s">
        <v>87</v>
      </c>
      <c r="D33" s="1" t="s">
        <v>88</v>
      </c>
      <c r="E33" s="1" t="s">
        <v>89</v>
      </c>
      <c r="F33" s="1" t="s">
        <v>87</v>
      </c>
      <c r="G33" s="1"/>
      <c r="H33" s="1"/>
      <c r="I33" s="2">
        <v>1368000</v>
      </c>
      <c r="J33" s="2">
        <v>0</v>
      </c>
      <c r="K33" s="2" t="s">
        <v>107</v>
      </c>
      <c r="L33" s="2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25">
      <c r="A34" s="1" t="s">
        <v>69</v>
      </c>
      <c r="B34" s="1" t="s">
        <v>70</v>
      </c>
      <c r="C34" s="1" t="s">
        <v>87</v>
      </c>
      <c r="D34" s="1" t="s">
        <v>88</v>
      </c>
      <c r="E34" s="1" t="s">
        <v>89</v>
      </c>
      <c r="F34" s="1" t="s">
        <v>87</v>
      </c>
      <c r="G34" s="1"/>
      <c r="H34" s="1"/>
      <c r="I34" s="2">
        <v>1260000</v>
      </c>
      <c r="J34" s="2">
        <v>0</v>
      </c>
      <c r="K34" s="2" t="s">
        <v>112</v>
      </c>
      <c r="L34" s="2"/>
      <c r="M34" s="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5">
      <c r="A35" s="1" t="s">
        <v>69</v>
      </c>
      <c r="B35" s="1" t="s">
        <v>70</v>
      </c>
      <c r="C35" s="1" t="s">
        <v>87</v>
      </c>
      <c r="D35" s="1" t="s">
        <v>88</v>
      </c>
      <c r="E35" s="1" t="s">
        <v>89</v>
      </c>
      <c r="F35" s="1" t="s">
        <v>87</v>
      </c>
      <c r="G35" s="1"/>
      <c r="H35" s="1"/>
      <c r="I35" s="2">
        <v>1260000</v>
      </c>
      <c r="J35" s="2">
        <v>0</v>
      </c>
      <c r="K35" s="2" t="s">
        <v>116</v>
      </c>
      <c r="L35" s="2"/>
      <c r="M35" s="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25">
      <c r="A36" s="1" t="s">
        <v>69</v>
      </c>
      <c r="B36" s="1" t="s">
        <v>70</v>
      </c>
      <c r="C36" s="1" t="s">
        <v>87</v>
      </c>
      <c r="D36" s="1" t="s">
        <v>88</v>
      </c>
      <c r="E36" s="1" t="s">
        <v>89</v>
      </c>
      <c r="F36" s="1" t="s">
        <v>87</v>
      </c>
      <c r="G36" s="1"/>
      <c r="H36" s="1"/>
      <c r="I36" s="2">
        <v>776000</v>
      </c>
      <c r="J36" s="2">
        <v>0</v>
      </c>
      <c r="K36" s="2" t="s">
        <v>108</v>
      </c>
      <c r="L36" s="2"/>
      <c r="M36" s="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25">
      <c r="A37" s="1" t="s">
        <v>69</v>
      </c>
      <c r="B37" s="1" t="s">
        <v>70</v>
      </c>
      <c r="C37" s="1" t="s">
        <v>90</v>
      </c>
      <c r="D37" s="1" t="s">
        <v>88</v>
      </c>
      <c r="E37" s="1" t="s">
        <v>89</v>
      </c>
      <c r="F37" s="1" t="s">
        <v>90</v>
      </c>
      <c r="G37" s="1"/>
      <c r="H37" s="1"/>
      <c r="I37" s="2">
        <v>2592000</v>
      </c>
      <c r="J37" s="2">
        <v>0</v>
      </c>
      <c r="K37" s="2" t="s">
        <v>112</v>
      </c>
      <c r="L37" s="2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25">
      <c r="A38" s="1" t="s">
        <v>69</v>
      </c>
      <c r="B38" s="1" t="s">
        <v>70</v>
      </c>
      <c r="C38" s="1" t="s">
        <v>117</v>
      </c>
      <c r="D38" s="1" t="s">
        <v>88</v>
      </c>
      <c r="E38" s="1" t="s">
        <v>89</v>
      </c>
      <c r="F38" s="1" t="s">
        <v>118</v>
      </c>
      <c r="G38" s="1" t="s">
        <v>119</v>
      </c>
      <c r="H38" s="1" t="s">
        <v>120</v>
      </c>
      <c r="I38" s="2">
        <v>146200</v>
      </c>
      <c r="J38" s="2">
        <v>0</v>
      </c>
      <c r="K38" s="2" t="s">
        <v>74</v>
      </c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25">
      <c r="A39" s="1" t="s">
        <v>69</v>
      </c>
      <c r="B39" s="1" t="s">
        <v>70</v>
      </c>
      <c r="C39" s="1" t="s">
        <v>121</v>
      </c>
      <c r="D39" s="1" t="s">
        <v>88</v>
      </c>
      <c r="E39" s="1" t="s">
        <v>89</v>
      </c>
      <c r="F39" s="1" t="s">
        <v>118</v>
      </c>
      <c r="G39" s="1" t="s">
        <v>119</v>
      </c>
      <c r="H39" s="1" t="s">
        <v>120</v>
      </c>
      <c r="I39" s="2">
        <v>75000</v>
      </c>
      <c r="J39" s="2">
        <v>0</v>
      </c>
      <c r="K39" s="2" t="s">
        <v>106</v>
      </c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25">
      <c r="A40" s="1" t="s">
        <v>69</v>
      </c>
      <c r="B40" s="1" t="s">
        <v>70</v>
      </c>
      <c r="C40" s="1" t="s">
        <v>122</v>
      </c>
      <c r="D40" s="1" t="s">
        <v>88</v>
      </c>
      <c r="E40" s="1" t="s">
        <v>89</v>
      </c>
      <c r="F40" s="1" t="s">
        <v>118</v>
      </c>
      <c r="G40" s="1" t="s">
        <v>123</v>
      </c>
      <c r="H40" s="1" t="s">
        <v>124</v>
      </c>
      <c r="I40" s="2">
        <v>74690</v>
      </c>
      <c r="J40" s="2">
        <v>0</v>
      </c>
      <c r="K40" s="2" t="s">
        <v>107</v>
      </c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x14ac:dyDescent="0.25">
      <c r="A41" s="1" t="s">
        <v>69</v>
      </c>
      <c r="B41" s="1" t="s">
        <v>70</v>
      </c>
      <c r="C41" s="1" t="s">
        <v>125</v>
      </c>
      <c r="D41" s="1" t="s">
        <v>88</v>
      </c>
      <c r="E41" s="1" t="s">
        <v>89</v>
      </c>
      <c r="F41" s="1" t="s">
        <v>118</v>
      </c>
      <c r="G41" s="1" t="s">
        <v>123</v>
      </c>
      <c r="H41" s="1" t="s">
        <v>124</v>
      </c>
      <c r="I41" s="2">
        <v>59740</v>
      </c>
      <c r="J41" s="2">
        <v>0</v>
      </c>
      <c r="K41" s="2" t="s">
        <v>112</v>
      </c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x14ac:dyDescent="0.25">
      <c r="A42" s="1" t="s">
        <v>69</v>
      </c>
      <c r="B42" s="1" t="s">
        <v>70</v>
      </c>
      <c r="C42" s="1" t="s">
        <v>94</v>
      </c>
      <c r="D42" s="1" t="s">
        <v>88</v>
      </c>
      <c r="E42" s="1" t="s">
        <v>89</v>
      </c>
      <c r="F42" s="1" t="s">
        <v>94</v>
      </c>
      <c r="G42" s="1"/>
      <c r="H42" s="1"/>
      <c r="I42" s="2">
        <v>5184000</v>
      </c>
      <c r="J42" s="2">
        <v>0</v>
      </c>
      <c r="K42" s="2" t="s">
        <v>74</v>
      </c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x14ac:dyDescent="0.25">
      <c r="A43" s="1" t="s">
        <v>69</v>
      </c>
      <c r="B43" s="1" t="s">
        <v>70</v>
      </c>
      <c r="C43" s="1" t="s">
        <v>94</v>
      </c>
      <c r="D43" s="1" t="s">
        <v>88</v>
      </c>
      <c r="E43" s="1" t="s">
        <v>89</v>
      </c>
      <c r="F43" s="1" t="s">
        <v>94</v>
      </c>
      <c r="G43" s="1"/>
      <c r="H43" s="1"/>
      <c r="I43" s="2">
        <v>2592000</v>
      </c>
      <c r="J43" s="2">
        <v>0</v>
      </c>
      <c r="K43" s="2" t="s">
        <v>109</v>
      </c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x14ac:dyDescent="0.25">
      <c r="A44" s="1" t="s">
        <v>69</v>
      </c>
      <c r="B44" s="1" t="s">
        <v>70</v>
      </c>
      <c r="C44" s="1" t="s">
        <v>94</v>
      </c>
      <c r="D44" s="1" t="s">
        <v>88</v>
      </c>
      <c r="E44" s="1" t="s">
        <v>89</v>
      </c>
      <c r="F44" s="1" t="s">
        <v>94</v>
      </c>
      <c r="G44" s="1"/>
      <c r="H44" s="1"/>
      <c r="I44" s="2">
        <v>2592000</v>
      </c>
      <c r="J44" s="2">
        <v>0</v>
      </c>
      <c r="K44" s="2" t="s">
        <v>106</v>
      </c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x14ac:dyDescent="0.25">
      <c r="A45" s="1" t="s">
        <v>69</v>
      </c>
      <c r="B45" s="1" t="s">
        <v>70</v>
      </c>
      <c r="C45" s="1" t="s">
        <v>94</v>
      </c>
      <c r="D45" s="1" t="s">
        <v>88</v>
      </c>
      <c r="E45" s="1" t="s">
        <v>89</v>
      </c>
      <c r="F45" s="1" t="s">
        <v>94</v>
      </c>
      <c r="G45" s="1"/>
      <c r="H45" s="1"/>
      <c r="I45" s="2">
        <v>2592000</v>
      </c>
      <c r="J45" s="2">
        <v>0</v>
      </c>
      <c r="K45" s="2" t="s">
        <v>111</v>
      </c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x14ac:dyDescent="0.25">
      <c r="A46" s="1" t="s">
        <v>69</v>
      </c>
      <c r="B46" s="1" t="s">
        <v>70</v>
      </c>
      <c r="C46" s="1" t="s">
        <v>94</v>
      </c>
      <c r="D46" s="1" t="s">
        <v>88</v>
      </c>
      <c r="E46" s="1" t="s">
        <v>89</v>
      </c>
      <c r="F46" s="1" t="s">
        <v>94</v>
      </c>
      <c r="G46" s="1"/>
      <c r="H46" s="1"/>
      <c r="I46" s="2">
        <v>2592000</v>
      </c>
      <c r="J46" s="2">
        <v>0</v>
      </c>
      <c r="K46" s="2" t="s">
        <v>107</v>
      </c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x14ac:dyDescent="0.25">
      <c r="A47" s="1" t="s">
        <v>69</v>
      </c>
      <c r="B47" s="1" t="s">
        <v>70</v>
      </c>
      <c r="C47" s="1" t="s">
        <v>94</v>
      </c>
      <c r="D47" s="1" t="s">
        <v>88</v>
      </c>
      <c r="E47" s="1" t="s">
        <v>89</v>
      </c>
      <c r="F47" s="1" t="s">
        <v>94</v>
      </c>
      <c r="G47" s="1"/>
      <c r="H47" s="1"/>
      <c r="I47" s="2">
        <v>2592000</v>
      </c>
      <c r="J47" s="2">
        <v>0</v>
      </c>
      <c r="K47" s="2" t="s">
        <v>112</v>
      </c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x14ac:dyDescent="0.25">
      <c r="A48" s="1" t="s">
        <v>69</v>
      </c>
      <c r="B48" s="1" t="s">
        <v>70</v>
      </c>
      <c r="C48" s="1" t="s">
        <v>94</v>
      </c>
      <c r="D48" s="1" t="s">
        <v>88</v>
      </c>
      <c r="E48" s="1" t="s">
        <v>89</v>
      </c>
      <c r="F48" s="1" t="s">
        <v>94</v>
      </c>
      <c r="G48" s="1"/>
      <c r="H48" s="1"/>
      <c r="I48" s="2">
        <v>2592000</v>
      </c>
      <c r="J48" s="2">
        <v>0</v>
      </c>
      <c r="K48" s="2" t="s">
        <v>116</v>
      </c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x14ac:dyDescent="0.25">
      <c r="A49" s="1" t="s">
        <v>69</v>
      </c>
      <c r="B49" s="1" t="s">
        <v>70</v>
      </c>
      <c r="C49" s="1" t="s">
        <v>126</v>
      </c>
      <c r="D49" s="1" t="s">
        <v>88</v>
      </c>
      <c r="E49" s="1" t="s">
        <v>97</v>
      </c>
      <c r="F49" s="1" t="s">
        <v>127</v>
      </c>
      <c r="G49" s="1" t="s">
        <v>126</v>
      </c>
      <c r="H49" s="1"/>
      <c r="I49" s="2">
        <v>0</v>
      </c>
      <c r="J49" s="2">
        <v>336000</v>
      </c>
      <c r="K49" s="2" t="s">
        <v>74</v>
      </c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x14ac:dyDescent="0.25">
      <c r="A50" s="1" t="s">
        <v>69</v>
      </c>
      <c r="B50" s="1" t="s">
        <v>70</v>
      </c>
      <c r="C50" s="1" t="s">
        <v>126</v>
      </c>
      <c r="D50" s="1" t="s">
        <v>88</v>
      </c>
      <c r="E50" s="1" t="s">
        <v>97</v>
      </c>
      <c r="F50" s="1" t="s">
        <v>127</v>
      </c>
      <c r="G50" s="1" t="s">
        <v>126</v>
      </c>
      <c r="H50" s="1"/>
      <c r="I50" s="2">
        <v>0</v>
      </c>
      <c r="J50" s="2">
        <v>856000</v>
      </c>
      <c r="K50" s="46" t="s">
        <v>106</v>
      </c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x14ac:dyDescent="0.25">
      <c r="A51" s="1" t="s">
        <v>69</v>
      </c>
      <c r="B51" s="1" t="s">
        <v>70</v>
      </c>
      <c r="C51" s="1" t="s">
        <v>126</v>
      </c>
      <c r="D51" s="1" t="s">
        <v>88</v>
      </c>
      <c r="E51" s="1" t="s">
        <v>97</v>
      </c>
      <c r="F51" s="1" t="s">
        <v>127</v>
      </c>
      <c r="G51" s="1" t="s">
        <v>126</v>
      </c>
      <c r="H51" s="1"/>
      <c r="I51" s="2">
        <v>0</v>
      </c>
      <c r="J51" s="2">
        <v>944000</v>
      </c>
      <c r="K51" s="46" t="s">
        <v>111</v>
      </c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x14ac:dyDescent="0.25">
      <c r="A52" s="1" t="s">
        <v>69</v>
      </c>
      <c r="B52" s="1" t="s">
        <v>70</v>
      </c>
      <c r="C52" s="1" t="s">
        <v>126</v>
      </c>
      <c r="D52" s="1" t="s">
        <v>88</v>
      </c>
      <c r="E52" s="1" t="s">
        <v>97</v>
      </c>
      <c r="F52" s="1" t="s">
        <v>127</v>
      </c>
      <c r="G52" s="1" t="s">
        <v>126</v>
      </c>
      <c r="H52" s="1"/>
      <c r="I52" s="2">
        <v>0</v>
      </c>
      <c r="J52" s="2">
        <v>584000</v>
      </c>
      <c r="K52" s="46" t="s">
        <v>116</v>
      </c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x14ac:dyDescent="0.25">
      <c r="A53" s="1" t="s">
        <v>69</v>
      </c>
      <c r="B53" s="1" t="s">
        <v>70</v>
      </c>
      <c r="C53" s="1" t="s">
        <v>128</v>
      </c>
      <c r="D53" s="1" t="s">
        <v>88</v>
      </c>
      <c r="E53" s="1" t="s">
        <v>97</v>
      </c>
      <c r="F53" s="1" t="s">
        <v>115</v>
      </c>
      <c r="G53" s="1" t="s">
        <v>128</v>
      </c>
      <c r="H53" s="1"/>
      <c r="I53" s="2">
        <v>0</v>
      </c>
      <c r="J53" s="2">
        <v>21800000</v>
      </c>
      <c r="K53" s="2" t="s">
        <v>74</v>
      </c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x14ac:dyDescent="0.25">
      <c r="A54" s="1" t="s">
        <v>69</v>
      </c>
      <c r="B54" s="1" t="s">
        <v>70</v>
      </c>
      <c r="C54" s="1" t="s">
        <v>128</v>
      </c>
      <c r="D54" s="1" t="s">
        <v>88</v>
      </c>
      <c r="E54" s="1" t="s">
        <v>97</v>
      </c>
      <c r="F54" s="1" t="s">
        <v>115</v>
      </c>
      <c r="G54" s="1" t="s">
        <v>128</v>
      </c>
      <c r="H54" s="1"/>
      <c r="I54" s="2">
        <v>0</v>
      </c>
      <c r="J54" s="2">
        <v>21800000</v>
      </c>
      <c r="K54" s="46" t="s">
        <v>110</v>
      </c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x14ac:dyDescent="0.25">
      <c r="A55" s="1" t="s">
        <v>69</v>
      </c>
      <c r="B55" s="1" t="s">
        <v>70</v>
      </c>
      <c r="C55" s="1" t="s">
        <v>128</v>
      </c>
      <c r="D55" s="1" t="s">
        <v>88</v>
      </c>
      <c r="E55" s="1" t="s">
        <v>97</v>
      </c>
      <c r="F55" s="1" t="s">
        <v>115</v>
      </c>
      <c r="G55" s="1" t="s">
        <v>128</v>
      </c>
      <c r="H55" s="1"/>
      <c r="I55" s="2">
        <v>0</v>
      </c>
      <c r="J55" s="2">
        <v>21800000</v>
      </c>
      <c r="K55" s="46" t="s">
        <v>112</v>
      </c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x14ac:dyDescent="0.25">
      <c r="A56" s="1" t="s">
        <v>69</v>
      </c>
      <c r="B56" s="1" t="s">
        <v>70</v>
      </c>
      <c r="C56" s="1" t="s">
        <v>86</v>
      </c>
      <c r="D56" s="1" t="s">
        <v>72</v>
      </c>
      <c r="E56" s="1" t="s">
        <v>85</v>
      </c>
      <c r="F56" s="1" t="s">
        <v>86</v>
      </c>
      <c r="G56" s="1"/>
      <c r="H56" s="1"/>
      <c r="I56" s="2">
        <v>933800</v>
      </c>
      <c r="J56" s="2">
        <v>0</v>
      </c>
      <c r="K56" s="2" t="s">
        <v>74</v>
      </c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x14ac:dyDescent="0.25">
      <c r="A57" s="1" t="s">
        <v>69</v>
      </c>
      <c r="B57" t="s">
        <v>70</v>
      </c>
      <c r="C57" t="s">
        <v>71</v>
      </c>
      <c r="D57" t="s">
        <v>72</v>
      </c>
      <c r="E57" t="s">
        <v>73</v>
      </c>
      <c r="F57" t="s">
        <v>71</v>
      </c>
      <c r="I57" s="2">
        <v>12300</v>
      </c>
      <c r="J57">
        <v>0</v>
      </c>
      <c r="K57" s="2" t="s">
        <v>116</v>
      </c>
    </row>
    <row r="58" spans="1:24" x14ac:dyDescent="0.25">
      <c r="A58" s="1" t="s">
        <v>69</v>
      </c>
      <c r="B58" t="s">
        <v>70</v>
      </c>
      <c r="C58" t="s">
        <v>129</v>
      </c>
      <c r="D58" t="s">
        <v>72</v>
      </c>
      <c r="E58" t="s">
        <v>73</v>
      </c>
      <c r="F58" t="s">
        <v>129</v>
      </c>
      <c r="I58" s="2">
        <v>8000</v>
      </c>
      <c r="J58">
        <v>0</v>
      </c>
      <c r="K58" s="46" t="s">
        <v>111</v>
      </c>
    </row>
    <row r="59" spans="1:24" x14ac:dyDescent="0.25">
      <c r="A59" s="1" t="s">
        <v>69</v>
      </c>
      <c r="B59" t="s">
        <v>70</v>
      </c>
      <c r="C59" t="s">
        <v>130</v>
      </c>
      <c r="D59" t="s">
        <v>72</v>
      </c>
      <c r="E59" t="s">
        <v>73</v>
      </c>
      <c r="F59" t="s">
        <v>130</v>
      </c>
      <c r="I59" s="2">
        <v>4000</v>
      </c>
      <c r="J59">
        <v>0</v>
      </c>
      <c r="K59" s="46" t="s">
        <v>106</v>
      </c>
    </row>
    <row r="60" spans="1:24" x14ac:dyDescent="0.25">
      <c r="A60" s="1" t="s">
        <v>69</v>
      </c>
      <c r="B60" t="s">
        <v>70</v>
      </c>
      <c r="C60" t="s">
        <v>130</v>
      </c>
      <c r="D60" t="s">
        <v>72</v>
      </c>
      <c r="E60" t="s">
        <v>73</v>
      </c>
      <c r="F60" t="s">
        <v>130</v>
      </c>
      <c r="I60" s="2">
        <v>4300</v>
      </c>
      <c r="J60">
        <v>0</v>
      </c>
      <c r="K60" s="2" t="s">
        <v>116</v>
      </c>
    </row>
    <row r="61" spans="1:24" x14ac:dyDescent="0.25">
      <c r="A61" s="1" t="s">
        <v>69</v>
      </c>
      <c r="B61" t="s">
        <v>70</v>
      </c>
      <c r="C61" t="s">
        <v>83</v>
      </c>
      <c r="D61" t="s">
        <v>72</v>
      </c>
      <c r="E61" t="s">
        <v>73</v>
      </c>
      <c r="F61" t="s">
        <v>83</v>
      </c>
      <c r="I61">
        <v>0</v>
      </c>
      <c r="J61" s="2">
        <v>14000</v>
      </c>
      <c r="K61" s="2" t="s">
        <v>108</v>
      </c>
    </row>
    <row r="62" spans="1:24" x14ac:dyDescent="0.25">
      <c r="A62" s="1" t="s">
        <v>69</v>
      </c>
      <c r="B62" t="s">
        <v>70</v>
      </c>
      <c r="C62" t="s">
        <v>131</v>
      </c>
      <c r="D62" t="s">
        <v>72</v>
      </c>
      <c r="E62" t="s">
        <v>73</v>
      </c>
      <c r="F62" t="s">
        <v>131</v>
      </c>
      <c r="I62">
        <v>0</v>
      </c>
      <c r="J62" s="2">
        <v>3000</v>
      </c>
      <c r="K62" s="46" t="s">
        <v>107</v>
      </c>
    </row>
    <row r="63" spans="1:24" x14ac:dyDescent="0.25">
      <c r="A63" s="1" t="s">
        <v>69</v>
      </c>
      <c r="B63" t="s">
        <v>70</v>
      </c>
      <c r="C63" t="s">
        <v>132</v>
      </c>
      <c r="D63" t="s">
        <v>72</v>
      </c>
      <c r="E63" t="s">
        <v>73</v>
      </c>
      <c r="F63" t="s">
        <v>132</v>
      </c>
      <c r="I63">
        <v>0</v>
      </c>
      <c r="J63" s="2">
        <v>5000</v>
      </c>
      <c r="K63" s="46" t="s">
        <v>106</v>
      </c>
    </row>
    <row r="64" spans="1:24" x14ac:dyDescent="0.25">
      <c r="A64" s="1" t="s">
        <v>69</v>
      </c>
      <c r="B64" t="s">
        <v>70</v>
      </c>
      <c r="C64" t="s">
        <v>132</v>
      </c>
      <c r="D64" t="s">
        <v>72</v>
      </c>
      <c r="E64" t="s">
        <v>73</v>
      </c>
      <c r="F64" t="s">
        <v>132</v>
      </c>
      <c r="I64">
        <v>0</v>
      </c>
      <c r="J64" s="2">
        <v>7000</v>
      </c>
      <c r="K64" s="46" t="s">
        <v>116</v>
      </c>
    </row>
    <row r="65" spans="1:24" x14ac:dyDescent="0.25">
      <c r="A65" s="1" t="s">
        <v>69</v>
      </c>
      <c r="B65" t="s">
        <v>70</v>
      </c>
      <c r="C65" t="s">
        <v>86</v>
      </c>
      <c r="D65" t="s">
        <v>72</v>
      </c>
      <c r="E65" t="s">
        <v>85</v>
      </c>
      <c r="F65" t="s">
        <v>86</v>
      </c>
      <c r="I65" s="2">
        <v>580000</v>
      </c>
      <c r="J65">
        <v>0</v>
      </c>
      <c r="K65" s="2" t="s">
        <v>111</v>
      </c>
    </row>
    <row r="66" spans="1:24" x14ac:dyDescent="0.25">
      <c r="A66" s="1" t="s">
        <v>69</v>
      </c>
      <c r="B66" t="s">
        <v>70</v>
      </c>
      <c r="C66" t="s">
        <v>91</v>
      </c>
      <c r="D66" t="s">
        <v>72</v>
      </c>
      <c r="E66" t="s">
        <v>92</v>
      </c>
      <c r="F66" t="s">
        <v>91</v>
      </c>
      <c r="I66" s="2">
        <v>50000</v>
      </c>
      <c r="J66">
        <v>0</v>
      </c>
      <c r="K66" s="2" t="s">
        <v>107</v>
      </c>
    </row>
    <row r="67" spans="1:24" x14ac:dyDescent="0.25">
      <c r="A67" s="1" t="s">
        <v>69</v>
      </c>
      <c r="B67" t="s">
        <v>70</v>
      </c>
      <c r="C67" t="s">
        <v>93</v>
      </c>
      <c r="D67" t="s">
        <v>72</v>
      </c>
      <c r="E67" t="s">
        <v>92</v>
      </c>
      <c r="F67" t="s">
        <v>93</v>
      </c>
      <c r="I67">
        <v>0</v>
      </c>
      <c r="J67" s="2">
        <v>20000</v>
      </c>
      <c r="K67" s="2" t="s">
        <v>108</v>
      </c>
    </row>
    <row r="68" spans="1:24" x14ac:dyDescent="0.25">
      <c r="A68" s="1" t="s">
        <v>69</v>
      </c>
      <c r="B68" t="s">
        <v>70</v>
      </c>
      <c r="C68" t="s">
        <v>133</v>
      </c>
      <c r="D68" t="s">
        <v>72</v>
      </c>
      <c r="E68" t="s">
        <v>92</v>
      </c>
      <c r="F68" t="s">
        <v>133</v>
      </c>
      <c r="I68" s="2">
        <v>11000</v>
      </c>
      <c r="J68">
        <v>0</v>
      </c>
      <c r="K68" s="2" t="s">
        <v>107</v>
      </c>
    </row>
    <row r="69" spans="1:24" x14ac:dyDescent="0.25">
      <c r="A69" s="1" t="s">
        <v>69</v>
      </c>
      <c r="B69" t="s">
        <v>70</v>
      </c>
      <c r="C69" t="s">
        <v>134</v>
      </c>
      <c r="D69" t="s">
        <v>72</v>
      </c>
      <c r="E69" t="s">
        <v>92</v>
      </c>
      <c r="F69" t="s">
        <v>134</v>
      </c>
      <c r="I69">
        <v>0</v>
      </c>
      <c r="J69" s="2">
        <v>2000</v>
      </c>
      <c r="K69" s="2" t="s">
        <v>108</v>
      </c>
    </row>
    <row r="70" spans="1:24" x14ac:dyDescent="0.25">
      <c r="A70" s="1" t="s">
        <v>135</v>
      </c>
      <c r="B70" s="1" t="s">
        <v>136</v>
      </c>
      <c r="C70" s="1" t="s">
        <v>96</v>
      </c>
      <c r="D70" s="1" t="s">
        <v>88</v>
      </c>
      <c r="E70" s="1" t="s">
        <v>97</v>
      </c>
      <c r="F70" s="1" t="s">
        <v>98</v>
      </c>
      <c r="G70" s="1" t="s">
        <v>96</v>
      </c>
      <c r="H70" s="1"/>
      <c r="I70" s="2">
        <v>0</v>
      </c>
      <c r="J70" s="2">
        <v>2880000</v>
      </c>
      <c r="K70" s="2" t="s">
        <v>137</v>
      </c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x14ac:dyDescent="0.25">
      <c r="A71" s="1" t="s">
        <v>135</v>
      </c>
      <c r="B71" s="1" t="s">
        <v>136</v>
      </c>
      <c r="C71" s="1" t="s">
        <v>103</v>
      </c>
      <c r="D71" s="1" t="s">
        <v>88</v>
      </c>
      <c r="E71" s="1" t="s">
        <v>97</v>
      </c>
      <c r="F71" s="1" t="s">
        <v>104</v>
      </c>
      <c r="G71" s="1" t="s">
        <v>103</v>
      </c>
      <c r="H71" s="1"/>
      <c r="I71" s="2">
        <v>0</v>
      </c>
      <c r="J71" s="2">
        <v>1440000</v>
      </c>
      <c r="K71" s="2" t="s">
        <v>138</v>
      </c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x14ac:dyDescent="0.25">
      <c r="A72" s="1" t="s">
        <v>135</v>
      </c>
      <c r="B72" s="1" t="s">
        <v>136</v>
      </c>
      <c r="C72" s="1" t="s">
        <v>105</v>
      </c>
      <c r="D72" s="1" t="s">
        <v>88</v>
      </c>
      <c r="E72" s="1" t="s">
        <v>97</v>
      </c>
      <c r="F72" s="1" t="s">
        <v>104</v>
      </c>
      <c r="G72" s="1" t="s">
        <v>105</v>
      </c>
      <c r="H72" s="1"/>
      <c r="I72" s="2">
        <v>0</v>
      </c>
      <c r="J72" s="2">
        <v>1200000</v>
      </c>
      <c r="K72" s="2" t="s">
        <v>139</v>
      </c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x14ac:dyDescent="0.25">
      <c r="A73" s="1" t="s">
        <v>135</v>
      </c>
      <c r="B73" s="1" t="s">
        <v>136</v>
      </c>
      <c r="C73" s="1" t="s">
        <v>84</v>
      </c>
      <c r="D73" s="1" t="s">
        <v>72</v>
      </c>
      <c r="E73" s="1" t="s">
        <v>84</v>
      </c>
      <c r="F73" s="1"/>
      <c r="G73" s="1"/>
      <c r="H73" s="1"/>
      <c r="I73" s="2">
        <v>1344000</v>
      </c>
      <c r="J73" s="2">
        <v>0</v>
      </c>
      <c r="K73" s="2" t="s">
        <v>139</v>
      </c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x14ac:dyDescent="0.25">
      <c r="A74" s="1" t="s">
        <v>135</v>
      </c>
      <c r="B74" s="1" t="s">
        <v>136</v>
      </c>
      <c r="C74" s="1" t="s">
        <v>84</v>
      </c>
      <c r="D74" s="1" t="s">
        <v>72</v>
      </c>
      <c r="E74" s="1" t="s">
        <v>84</v>
      </c>
      <c r="F74" s="1"/>
      <c r="G74" s="1"/>
      <c r="H74" s="1"/>
      <c r="I74" s="2">
        <v>1344000</v>
      </c>
      <c r="J74" s="2">
        <v>0</v>
      </c>
      <c r="K74" s="2" t="s">
        <v>138</v>
      </c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x14ac:dyDescent="0.25">
      <c r="A75" s="1" t="s">
        <v>135</v>
      </c>
      <c r="B75" s="1" t="s">
        <v>136</v>
      </c>
      <c r="C75" s="1" t="s">
        <v>87</v>
      </c>
      <c r="D75" s="1" t="s">
        <v>88</v>
      </c>
      <c r="E75" s="1" t="s">
        <v>89</v>
      </c>
      <c r="F75" s="1" t="s">
        <v>87</v>
      </c>
      <c r="G75" s="1"/>
      <c r="H75" s="1"/>
      <c r="I75" s="2">
        <v>8064000</v>
      </c>
      <c r="J75" s="2">
        <v>0</v>
      </c>
      <c r="K75" s="2" t="s">
        <v>137</v>
      </c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x14ac:dyDescent="0.25">
      <c r="A76" s="1" t="s">
        <v>135</v>
      </c>
      <c r="B76" s="1" t="s">
        <v>136</v>
      </c>
      <c r="C76" s="1" t="s">
        <v>87</v>
      </c>
      <c r="D76" s="1" t="s">
        <v>88</v>
      </c>
      <c r="E76" s="1" t="s">
        <v>89</v>
      </c>
      <c r="F76" s="1" t="s">
        <v>87</v>
      </c>
      <c r="G76" s="1"/>
      <c r="H76" s="1"/>
      <c r="I76" s="2">
        <v>5376000</v>
      </c>
      <c r="J76" s="2">
        <v>0</v>
      </c>
      <c r="K76" s="2" t="s">
        <v>139</v>
      </c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x14ac:dyDescent="0.25">
      <c r="A77" s="1" t="s">
        <v>135</v>
      </c>
      <c r="B77" s="1" t="s">
        <v>136</v>
      </c>
      <c r="C77" s="1" t="s">
        <v>87</v>
      </c>
      <c r="D77" s="1" t="s">
        <v>88</v>
      </c>
      <c r="E77" s="1" t="s">
        <v>89</v>
      </c>
      <c r="F77" s="1" t="s">
        <v>87</v>
      </c>
      <c r="G77" s="1"/>
      <c r="H77" s="1"/>
      <c r="I77" s="2">
        <v>4032000</v>
      </c>
      <c r="J77" s="2">
        <v>0</v>
      </c>
      <c r="K77" s="2" t="s">
        <v>138</v>
      </c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x14ac:dyDescent="0.25">
      <c r="A78" s="1" t="s">
        <v>135</v>
      </c>
      <c r="B78" s="1" t="s">
        <v>136</v>
      </c>
      <c r="C78" s="1" t="s">
        <v>94</v>
      </c>
      <c r="D78" s="1" t="s">
        <v>88</v>
      </c>
      <c r="E78" s="1" t="s">
        <v>89</v>
      </c>
      <c r="F78" s="1" t="s">
        <v>94</v>
      </c>
      <c r="G78" s="1"/>
      <c r="H78" s="1"/>
      <c r="I78" s="2">
        <v>2688000</v>
      </c>
      <c r="J78" s="2">
        <v>0</v>
      </c>
      <c r="K78" s="2" t="s">
        <v>137</v>
      </c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x14ac:dyDescent="0.25">
      <c r="A79" s="1" t="s">
        <v>135</v>
      </c>
      <c r="B79" s="1" t="s">
        <v>136</v>
      </c>
      <c r="C79" s="1" t="s">
        <v>94</v>
      </c>
      <c r="D79" s="1" t="s">
        <v>88</v>
      </c>
      <c r="E79" s="1" t="s">
        <v>89</v>
      </c>
      <c r="F79" s="1" t="s">
        <v>94</v>
      </c>
      <c r="G79" s="1"/>
      <c r="H79" s="1"/>
      <c r="I79" s="2">
        <v>1344000</v>
      </c>
      <c r="J79" s="2">
        <v>0</v>
      </c>
      <c r="K79" s="2" t="s">
        <v>139</v>
      </c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x14ac:dyDescent="0.25">
      <c r="A80" s="1" t="s">
        <v>135</v>
      </c>
      <c r="B80" s="1" t="s">
        <v>136</v>
      </c>
      <c r="C80" s="1" t="s">
        <v>94</v>
      </c>
      <c r="D80" s="1" t="s">
        <v>88</v>
      </c>
      <c r="E80" s="1" t="s">
        <v>89</v>
      </c>
      <c r="F80" s="1" t="s">
        <v>94</v>
      </c>
      <c r="G80" s="1"/>
      <c r="H80" s="1"/>
      <c r="I80" s="2">
        <v>1344000</v>
      </c>
      <c r="J80" s="2">
        <v>0</v>
      </c>
      <c r="K80" s="2" t="s">
        <v>138</v>
      </c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x14ac:dyDescent="0.25">
      <c r="A81" s="1" t="s">
        <v>135</v>
      </c>
      <c r="B81" s="1" t="s">
        <v>136</v>
      </c>
      <c r="C81" s="1" t="s">
        <v>128</v>
      </c>
      <c r="D81" s="1" t="s">
        <v>88</v>
      </c>
      <c r="E81" s="1" t="s">
        <v>97</v>
      </c>
      <c r="F81" s="1" t="s">
        <v>115</v>
      </c>
      <c r="G81" s="1" t="s">
        <v>128</v>
      </c>
      <c r="H81" s="1"/>
      <c r="I81" s="2">
        <v>0</v>
      </c>
      <c r="J81" s="2">
        <v>10080000</v>
      </c>
      <c r="K81" s="2" t="s">
        <v>137</v>
      </c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x14ac:dyDescent="0.25">
      <c r="A82" s="1" t="s">
        <v>135</v>
      </c>
      <c r="B82" s="1" t="s">
        <v>136</v>
      </c>
      <c r="C82" s="1" t="s">
        <v>128</v>
      </c>
      <c r="D82" s="1" t="s">
        <v>88</v>
      </c>
      <c r="E82" s="1" t="s">
        <v>97</v>
      </c>
      <c r="F82" s="1" t="s">
        <v>115</v>
      </c>
      <c r="G82" s="1" t="s">
        <v>128</v>
      </c>
      <c r="H82" s="1"/>
      <c r="I82" s="2">
        <v>0</v>
      </c>
      <c r="J82" s="2">
        <v>11250000</v>
      </c>
      <c r="K82" s="46" t="s">
        <v>139</v>
      </c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x14ac:dyDescent="0.25">
      <c r="A83" s="1" t="s">
        <v>135</v>
      </c>
      <c r="B83" s="1" t="s">
        <v>136</v>
      </c>
      <c r="C83" s="1" t="s">
        <v>128</v>
      </c>
      <c r="D83" s="1" t="s">
        <v>88</v>
      </c>
      <c r="E83" s="1" t="s">
        <v>97</v>
      </c>
      <c r="F83" s="1" t="s">
        <v>115</v>
      </c>
      <c r="G83" s="1" t="s">
        <v>128</v>
      </c>
      <c r="H83" s="1"/>
      <c r="I83" s="2">
        <v>0</v>
      </c>
      <c r="J83" s="2">
        <v>12890000</v>
      </c>
      <c r="K83" s="46" t="s">
        <v>138</v>
      </c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x14ac:dyDescent="0.25">
      <c r="A84" s="1" t="s">
        <v>135</v>
      </c>
      <c r="B84" t="s">
        <v>136</v>
      </c>
      <c r="C84" t="s">
        <v>71</v>
      </c>
      <c r="D84" t="s">
        <v>72</v>
      </c>
      <c r="E84" t="s">
        <v>73</v>
      </c>
      <c r="F84" t="s">
        <v>71</v>
      </c>
      <c r="I84" s="2">
        <v>15000</v>
      </c>
      <c r="J84">
        <v>0</v>
      </c>
      <c r="K84" s="2" t="s">
        <v>138</v>
      </c>
    </row>
    <row r="85" spans="1:24" x14ac:dyDescent="0.25">
      <c r="A85" s="1" t="s">
        <v>135</v>
      </c>
      <c r="B85" t="s">
        <v>136</v>
      </c>
      <c r="C85" t="s">
        <v>83</v>
      </c>
      <c r="D85" t="s">
        <v>72</v>
      </c>
      <c r="E85" t="s">
        <v>73</v>
      </c>
      <c r="F85" t="s">
        <v>83</v>
      </c>
      <c r="I85">
        <v>0</v>
      </c>
      <c r="J85" s="2">
        <v>12000</v>
      </c>
      <c r="K85" s="2" t="s">
        <v>138</v>
      </c>
    </row>
    <row r="86" spans="1:24" x14ac:dyDescent="0.25">
      <c r="A86" s="1" t="s">
        <v>135</v>
      </c>
      <c r="B86" t="s">
        <v>136</v>
      </c>
      <c r="C86" t="s">
        <v>86</v>
      </c>
      <c r="D86" t="s">
        <v>72</v>
      </c>
      <c r="E86" t="s">
        <v>85</v>
      </c>
      <c r="F86" t="s">
        <v>86</v>
      </c>
      <c r="I86" s="2">
        <v>420000</v>
      </c>
      <c r="J86">
        <v>0</v>
      </c>
      <c r="K86" s="2" t="s">
        <v>139</v>
      </c>
    </row>
    <row r="87" spans="1:24" x14ac:dyDescent="0.25">
      <c r="A87" s="1" t="s">
        <v>135</v>
      </c>
      <c r="B87" t="s">
        <v>136</v>
      </c>
      <c r="C87" t="s">
        <v>91</v>
      </c>
      <c r="D87" t="s">
        <v>72</v>
      </c>
      <c r="E87" t="s">
        <v>92</v>
      </c>
      <c r="F87" t="s">
        <v>91</v>
      </c>
      <c r="I87" s="2">
        <v>50000</v>
      </c>
      <c r="J87">
        <v>0</v>
      </c>
      <c r="K87" s="2" t="s">
        <v>139</v>
      </c>
    </row>
    <row r="88" spans="1:24" x14ac:dyDescent="0.25">
      <c r="A88" s="1" t="s">
        <v>135</v>
      </c>
      <c r="B88" t="s">
        <v>136</v>
      </c>
      <c r="C88" t="s">
        <v>93</v>
      </c>
      <c r="D88" t="s">
        <v>72</v>
      </c>
      <c r="E88" t="s">
        <v>92</v>
      </c>
      <c r="F88" t="s">
        <v>93</v>
      </c>
      <c r="I88">
        <v>0</v>
      </c>
      <c r="J88" s="2">
        <v>18000</v>
      </c>
      <c r="K88" s="2" t="s">
        <v>137</v>
      </c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 de trésorerie</vt:lpstr>
      <vt:lpstr>Donnees</vt:lpstr>
      <vt:lpstr>'Plan de trésorerie'!Zone_d_impression</vt:lpstr>
    </vt:vector>
  </TitlesOfParts>
  <Company>qualiac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cp:lastModifiedBy>Patrick FRAYSSE</cp:lastModifiedBy>
  <cp:lastPrinted>2014-04-23T08:44:22Z</cp:lastPrinted>
  <dcterms:created xsi:type="dcterms:W3CDTF">2014-02-24T14:02:19Z</dcterms:created>
  <dcterms:modified xsi:type="dcterms:W3CDTF">2025-01-06T08:24:44Z</dcterms:modified>
</cp:coreProperties>
</file>